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8b32c3daf63075f/Documents/SKRIPSI/Nilai Perusahaan/"/>
    </mc:Choice>
  </mc:AlternateContent>
  <xr:revisionPtr revIDLastSave="47" documentId="8_{D41D5B84-AA38-4DE8-9E58-2975099930CE}" xr6:coauthVersionLast="47" xr6:coauthVersionMax="47" xr10:uidLastSave="{D3DC6141-63D8-442E-8E6B-8F01940FB787}"/>
  <bookViews>
    <workbookView xWindow="-110" yWindow="-110" windowWidth="19420" windowHeight="11500" activeTab="3" xr2:uid="{0C294E7D-9C2B-4C83-A406-0701654B27D8}"/>
  </bookViews>
  <sheets>
    <sheet name="ESG" sheetId="2" r:id="rId1"/>
    <sheet name="CEI" sheetId="6" r:id="rId2"/>
    <sheet name="Nilai Perusahaan" sheetId="3" r:id="rId3"/>
    <sheet name="Olah Data " sheetId="1" r:id="rId4"/>
    <sheet name="biaya lingkungan" sheetId="4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9" i="4" l="1"/>
  <c r="M19" i="4"/>
  <c r="J19" i="4"/>
  <c r="G19" i="4"/>
  <c r="P18" i="4"/>
  <c r="M18" i="4"/>
  <c r="J18" i="4"/>
  <c r="G18" i="4"/>
  <c r="P17" i="4"/>
  <c r="M17" i="4"/>
  <c r="J17" i="4"/>
  <c r="G17" i="4"/>
  <c r="P16" i="4"/>
  <c r="M16" i="4"/>
  <c r="J16" i="4"/>
  <c r="G16" i="4"/>
  <c r="N15" i="4"/>
  <c r="P15" i="4" s="1"/>
  <c r="K15" i="4"/>
  <c r="M15" i="4" s="1"/>
  <c r="H15" i="4"/>
  <c r="J15" i="4" s="1"/>
  <c r="E15" i="4"/>
  <c r="G15" i="4" s="1"/>
  <c r="N14" i="4"/>
  <c r="P14" i="4" s="1"/>
  <c r="K14" i="4"/>
  <c r="M14" i="4" s="1"/>
  <c r="H14" i="4"/>
  <c r="J14" i="4" s="1"/>
  <c r="E14" i="4"/>
  <c r="G14" i="4" s="1"/>
  <c r="N13" i="4"/>
  <c r="P13" i="4" s="1"/>
  <c r="K13" i="4"/>
  <c r="M13" i="4" s="1"/>
  <c r="H13" i="4"/>
  <c r="J13" i="4" s="1"/>
  <c r="G13" i="4"/>
  <c r="N12" i="4"/>
  <c r="P12" i="4" s="1"/>
  <c r="M12" i="4"/>
  <c r="K12" i="4"/>
  <c r="H12" i="4"/>
  <c r="J12" i="4" s="1"/>
  <c r="E12" i="4"/>
  <c r="G12" i="4" s="1"/>
  <c r="P11" i="4"/>
  <c r="N11" i="4"/>
  <c r="M11" i="4"/>
  <c r="K11" i="4"/>
  <c r="H11" i="4"/>
  <c r="J11" i="4" s="1"/>
  <c r="E11" i="4"/>
  <c r="G11" i="4" s="1"/>
  <c r="N10" i="4"/>
  <c r="P10" i="4" s="1"/>
  <c r="K10" i="4"/>
  <c r="M10" i="4" s="1"/>
  <c r="J10" i="4"/>
  <c r="H10" i="4"/>
  <c r="G10" i="4"/>
  <c r="E10" i="4"/>
  <c r="P9" i="4"/>
  <c r="M9" i="4"/>
  <c r="J9" i="4"/>
  <c r="G9" i="4"/>
  <c r="P8" i="4"/>
  <c r="M8" i="4"/>
  <c r="J8" i="4"/>
  <c r="G8" i="4"/>
  <c r="P7" i="4"/>
  <c r="M7" i="4"/>
  <c r="J7" i="4"/>
  <c r="G7" i="4"/>
  <c r="P6" i="4"/>
  <c r="M6" i="4"/>
  <c r="J6" i="4"/>
  <c r="G6" i="4"/>
  <c r="P5" i="4"/>
  <c r="M5" i="4"/>
  <c r="J5" i="4"/>
  <c r="G5" i="4"/>
  <c r="E5" i="3" l="1"/>
  <c r="F5" i="3"/>
  <c r="G5" i="3"/>
  <c r="H5" i="3" s="1"/>
  <c r="I5" i="3"/>
  <c r="J5" i="3"/>
  <c r="K5" i="3"/>
  <c r="M5" i="3"/>
  <c r="N5" i="3"/>
  <c r="O5" i="3"/>
  <c r="Q5" i="3"/>
  <c r="R5" i="3"/>
  <c r="S5" i="3"/>
  <c r="T5" i="3" s="1"/>
  <c r="E7" i="3"/>
  <c r="H7" i="3"/>
  <c r="I7" i="3"/>
  <c r="L7" i="3"/>
  <c r="M7" i="3"/>
  <c r="P7" i="3" s="1"/>
  <c r="Q7" i="3"/>
  <c r="T7" i="3"/>
  <c r="E8" i="3"/>
  <c r="H8" i="3"/>
  <c r="I8" i="3"/>
  <c r="L8" i="3" s="1"/>
  <c r="M8" i="3"/>
  <c r="P8" i="3"/>
  <c r="Q8" i="3"/>
  <c r="T8" i="3"/>
  <c r="E9" i="3"/>
  <c r="H9" i="3" s="1"/>
  <c r="I9" i="3"/>
  <c r="L9" i="3"/>
  <c r="M9" i="3"/>
  <c r="P9" i="3"/>
  <c r="Q9" i="3"/>
  <c r="T9" i="3" s="1"/>
  <c r="E10" i="3"/>
  <c r="H10" i="3"/>
  <c r="I10" i="3"/>
  <c r="L10" i="3"/>
  <c r="M10" i="3"/>
  <c r="P10" i="3" s="1"/>
  <c r="Q10" i="3"/>
  <c r="T10" i="3"/>
  <c r="E11" i="3"/>
  <c r="H11" i="3"/>
  <c r="I11" i="3"/>
  <c r="L11" i="3" s="1"/>
  <c r="M11" i="3"/>
  <c r="P11" i="3"/>
  <c r="Q11" i="3"/>
  <c r="T11" i="3"/>
  <c r="E12" i="3"/>
  <c r="F12" i="3"/>
  <c r="G12" i="3"/>
  <c r="I12" i="3"/>
  <c r="J12" i="3"/>
  <c r="K12" i="3"/>
  <c r="M12" i="3"/>
  <c r="N12" i="3"/>
  <c r="O12" i="3"/>
  <c r="P12" i="3"/>
  <c r="Q12" i="3"/>
  <c r="R12" i="3"/>
  <c r="S12" i="3"/>
  <c r="E13" i="3"/>
  <c r="F13" i="3"/>
  <c r="G13" i="3"/>
  <c r="H13" i="3" s="1"/>
  <c r="I13" i="3"/>
  <c r="J13" i="3"/>
  <c r="K13" i="3"/>
  <c r="L13" i="3" s="1"/>
  <c r="M13" i="3"/>
  <c r="N13" i="3"/>
  <c r="O13" i="3"/>
  <c r="Q13" i="3"/>
  <c r="R13" i="3"/>
  <c r="S13" i="3"/>
  <c r="T13" i="3" s="1"/>
  <c r="E14" i="3"/>
  <c r="H14" i="3"/>
  <c r="I14" i="3"/>
  <c r="L14" i="3"/>
  <c r="M14" i="3"/>
  <c r="P14" i="3" s="1"/>
  <c r="Q14" i="3"/>
  <c r="T14" i="3"/>
  <c r="E15" i="3"/>
  <c r="F15" i="3"/>
  <c r="G15" i="3"/>
  <c r="I15" i="3"/>
  <c r="J15" i="3"/>
  <c r="L15" i="3" s="1"/>
  <c r="K15" i="3"/>
  <c r="M15" i="3"/>
  <c r="N15" i="3"/>
  <c r="O15" i="3"/>
  <c r="Q15" i="3"/>
  <c r="R15" i="3"/>
  <c r="S15" i="3"/>
  <c r="T15" i="3" s="1"/>
  <c r="E16" i="3"/>
  <c r="F16" i="3"/>
  <c r="G16" i="3"/>
  <c r="H16" i="3"/>
  <c r="I16" i="3"/>
  <c r="L16" i="3" s="1"/>
  <c r="J16" i="3"/>
  <c r="K16" i="3"/>
  <c r="M16" i="3"/>
  <c r="N16" i="3"/>
  <c r="O16" i="3"/>
  <c r="P16" i="3" s="1"/>
  <c r="Q16" i="3"/>
  <c r="R16" i="3"/>
  <c r="S16" i="3"/>
  <c r="E17" i="3"/>
  <c r="F17" i="3"/>
  <c r="G17" i="3"/>
  <c r="I17" i="3"/>
  <c r="J17" i="3"/>
  <c r="K17" i="3"/>
  <c r="M17" i="3"/>
  <c r="N17" i="3"/>
  <c r="O17" i="3"/>
  <c r="P17" i="3"/>
  <c r="Q17" i="3"/>
  <c r="R17" i="3"/>
  <c r="S17" i="3"/>
  <c r="E18" i="3"/>
  <c r="H18" i="3"/>
  <c r="I18" i="3"/>
  <c r="L18" i="3" s="1"/>
  <c r="M18" i="3"/>
  <c r="P18" i="3"/>
  <c r="Q18" i="3"/>
  <c r="T18" i="3"/>
  <c r="E19" i="3"/>
  <c r="H19" i="3" s="1"/>
  <c r="I19" i="3"/>
  <c r="L19" i="3"/>
  <c r="M19" i="3"/>
  <c r="P19" i="3"/>
  <c r="Q19" i="3"/>
  <c r="T19" i="3" s="1"/>
  <c r="E6" i="3"/>
  <c r="H6" i="3"/>
  <c r="I6" i="3"/>
  <c r="L6" i="3"/>
  <c r="M6" i="3"/>
  <c r="P6" i="3" s="1"/>
  <c r="Q6" i="3"/>
  <c r="T6" i="3"/>
  <c r="T12" i="3" l="1"/>
  <c r="T16" i="3"/>
  <c r="L17" i="3"/>
  <c r="T17" i="3"/>
  <c r="L5" i="3"/>
  <c r="P5" i="3"/>
  <c r="P13" i="3"/>
  <c r="L12" i="3"/>
  <c r="P15" i="3"/>
  <c r="H17" i="3"/>
  <c r="H12" i="3"/>
  <c r="H15" i="3"/>
</calcChain>
</file>

<file path=xl/sharedStrings.xml><?xml version="1.0" encoding="utf-8"?>
<sst xmlns="http://schemas.openxmlformats.org/spreadsheetml/2006/main" count="275" uniqueCount="90">
  <si>
    <t>No.</t>
  </si>
  <si>
    <t>Kode</t>
  </si>
  <si>
    <t>Tahun</t>
  </si>
  <si>
    <t>ESG Score</t>
  </si>
  <si>
    <t>Intensitas Emisi Karbon</t>
  </si>
  <si>
    <t>Green Investment</t>
  </si>
  <si>
    <t>Tobin's Q</t>
  </si>
  <si>
    <t>ADRO</t>
  </si>
  <si>
    <t>AMRT</t>
  </si>
  <si>
    <t>ANTM</t>
  </si>
  <si>
    <t>BBCA</t>
  </si>
  <si>
    <t>BBNI</t>
  </si>
  <si>
    <t>BBRI</t>
  </si>
  <si>
    <t>CPIN</t>
  </si>
  <si>
    <t>INKP</t>
  </si>
  <si>
    <t>ITMG</t>
  </si>
  <si>
    <t>KLBF</t>
  </si>
  <si>
    <t>MDKA</t>
  </si>
  <si>
    <t>MEDC</t>
  </si>
  <si>
    <t>PGAS</t>
  </si>
  <si>
    <t>SMGR</t>
  </si>
  <si>
    <t>TOWR</t>
  </si>
  <si>
    <t>Sumber Alfaria Trijaya Tbk</t>
  </si>
  <si>
    <t>Sarana Menara Nusantara Tbk</t>
  </si>
  <si>
    <t>Semen Indonesia (Persero) Tbk</t>
  </si>
  <si>
    <t>Perusahaan Gas Negara Tbk</t>
  </si>
  <si>
    <t>Medco Energi Internasional Tbk</t>
  </si>
  <si>
    <t>Merdeka Copper Gold Tbk</t>
  </si>
  <si>
    <t>Kalbe Farma Tbk</t>
  </si>
  <si>
    <t>Indo Tambangraya Megah Tbk</t>
  </si>
  <si>
    <t>Indah Kiat Pulp &amp; Paper Tbk</t>
  </si>
  <si>
    <t>Charoen Pokphand Indonesia Tbk</t>
  </si>
  <si>
    <t>Bank Rakyat Indonesia (Persero) Tbk</t>
  </si>
  <si>
    <t>Bank Negara Indonesia (Persero) Tbk</t>
  </si>
  <si>
    <t>Bank Central Asia Tbk</t>
  </si>
  <si>
    <t>Aneka Tambang Tbk</t>
  </si>
  <si>
    <t>Alamtri Resources Indonesia Tbk</t>
  </si>
  <si>
    <t>Total</t>
  </si>
  <si>
    <t>Total Asset</t>
  </si>
  <si>
    <t>Total Liabilities</t>
  </si>
  <si>
    <t>MVE</t>
  </si>
  <si>
    <t>Stock Name</t>
  </si>
  <si>
    <t>Code</t>
  </si>
  <si>
    <t>Total Biaya Lingkungan</t>
  </si>
  <si>
    <t>Total Aset</t>
  </si>
  <si>
    <t>Total GI</t>
  </si>
  <si>
    <t>SR 2024 HAL 135</t>
  </si>
  <si>
    <t>SR 2023 HAL 122</t>
  </si>
  <si>
    <t>NOTES : KALAU BANK ADA KATEGORI KEGIATAN USAHA BERKELANJUTAN</t>
  </si>
  <si>
    <t>SR 2024 HAL 139</t>
  </si>
  <si>
    <t>SR 2023 HAL 125</t>
  </si>
  <si>
    <t>SR 2024 HAL 28</t>
  </si>
  <si>
    <t>SR 2023 HAL 22</t>
  </si>
  <si>
    <t>SR 2024 HAL 8</t>
  </si>
  <si>
    <t>SR 2023 HAL 8</t>
  </si>
  <si>
    <t>SR 2024 HAL 18</t>
  </si>
  <si>
    <t>SR 2023 HAL 164</t>
  </si>
  <si>
    <t>SR 2022 HAL 97</t>
  </si>
  <si>
    <t>SR 2021 HAL 125</t>
  </si>
  <si>
    <t>SR 2024 HAL 87</t>
  </si>
  <si>
    <t>SR 2023 HAL 91</t>
  </si>
  <si>
    <t>SR 2024 HAL 37</t>
  </si>
  <si>
    <t>SR 2023 HAL 45</t>
  </si>
  <si>
    <t>SR 2024 HAL 141</t>
  </si>
  <si>
    <t>SR 2023 HAL 40</t>
  </si>
  <si>
    <t>SR 2022 HAL 76</t>
  </si>
  <si>
    <t>SR 2021 HAL 82</t>
  </si>
  <si>
    <t>SR 2024 HAL 53</t>
  </si>
  <si>
    <t>SR 2023 HAL 47</t>
  </si>
  <si>
    <t>SR 2022 HAL 28</t>
  </si>
  <si>
    <t>SR 2021 HAL 7</t>
  </si>
  <si>
    <t>SR 2024 HAL 50</t>
  </si>
  <si>
    <t>SR 2023 HAL 49</t>
  </si>
  <si>
    <t>SR 2024 HAL 104, 134</t>
  </si>
  <si>
    <t>SR 2023 HAL 101, 144</t>
  </si>
  <si>
    <t>SR 2024 HAL 154, 150</t>
  </si>
  <si>
    <t>SR 2023 HAL 104, 129</t>
  </si>
  <si>
    <t>SR 2024 HAL 197</t>
  </si>
  <si>
    <t>SR 2023 HAL 202</t>
  </si>
  <si>
    <t>SR 2024 HAL 202</t>
  </si>
  <si>
    <t>SR HAL 81-82</t>
  </si>
  <si>
    <t>SR 2023 HAL 265</t>
  </si>
  <si>
    <t>SR 2024 HAL 279</t>
  </si>
  <si>
    <t>LK 2024 HAL 9</t>
  </si>
  <si>
    <t>LK 2023 HAL 4</t>
  </si>
  <si>
    <t>FEB-JUL</t>
  </si>
  <si>
    <t>Total CEI 2021</t>
  </si>
  <si>
    <t>Total CEI 2022</t>
  </si>
  <si>
    <t>Total CEI 2023</t>
  </si>
  <si>
    <t>Total CEI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</si>
</sst>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Rp&quot;* #,##0_-;\-&quot;Rp&quot;* #,##0_-;_-&quot;Rp&quot;* &quot;-&quot;_-;_-@_-"/>
    <numFmt numFmtId="44" formatCode="_-&quot;Rp&quot;* #,##0.00_-;\-&quot;Rp&quot;* #,##0.00_-;_-&quot;Rp&quot;* &quot;-&quot;??_-;_-@_-"/>
    <numFmt numFmtId="164" formatCode="0.0000000000000000000000"/>
    <numFmt numFmtId="165" formatCode="0.000000000000000"/>
  </numFmts>
  <fonts count="5" x14ac:knownFonts="1">
    <font>
      <sz val="11"/>
      <color theme="1"/>
      <name val="Calibri"/>
      <family val="2"/>
      <charset val="1"/>
      <scheme val="minor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left"/>
    </xf>
    <xf numFmtId="164" fontId="2" fillId="0" borderId="1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left"/>
    </xf>
    <xf numFmtId="164" fontId="0" fillId="0" borderId="1" xfId="0" applyNumberFormat="1" applyBorder="1"/>
    <xf numFmtId="164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left" vertical="center"/>
    </xf>
    <xf numFmtId="164" fontId="0" fillId="0" borderId="0" xfId="0" applyNumberFormat="1"/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/>
    </xf>
    <xf numFmtId="42" fontId="0" fillId="0" borderId="1" xfId="0" applyNumberFormat="1" applyBorder="1" applyAlignment="1">
      <alignment horizontal="center"/>
    </xf>
    <xf numFmtId="42" fontId="0" fillId="0" borderId="1" xfId="1" applyNumberFormat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0" fontId="2" fillId="0" borderId="1" xfId="0" applyFont="1" applyBorder="1"/>
    <xf numFmtId="49" fontId="2" fillId="0" borderId="1" xfId="0" applyNumberFormat="1" applyFont="1" applyBorder="1"/>
    <xf numFmtId="164" fontId="0" fillId="0" borderId="2" xfId="0" applyNumberFormat="1" applyBorder="1" applyAlignment="1">
      <alignment horizontal="center"/>
    </xf>
    <xf numFmtId="42" fontId="0" fillId="0" borderId="2" xfId="0" applyNumberFormat="1" applyBorder="1" applyAlignment="1">
      <alignment horizontal="center"/>
    </xf>
    <xf numFmtId="42" fontId="0" fillId="0" borderId="2" xfId="1" applyNumberFormat="1" applyFont="1" applyBorder="1" applyAlignment="1">
      <alignment horizontal="center"/>
    </xf>
    <xf numFmtId="164" fontId="0" fillId="0" borderId="2" xfId="1" applyNumberFormat="1" applyFont="1" applyBorder="1" applyAlignment="1">
      <alignment horizontal="center"/>
    </xf>
    <xf numFmtId="0" fontId="2" fillId="0" borderId="2" xfId="0" applyFont="1" applyBorder="1"/>
    <xf numFmtId="49" fontId="2" fillId="0" borderId="2" xfId="0" applyNumberFormat="1" applyFont="1" applyBorder="1"/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42" fontId="0" fillId="0" borderId="1" xfId="0" applyNumberFormat="1" applyBorder="1"/>
    <xf numFmtId="42" fontId="0" fillId="0" borderId="0" xfId="0" applyNumberFormat="1" applyAlignment="1">
      <alignment horizontal="center"/>
    </xf>
    <xf numFmtId="42" fontId="0" fillId="0" borderId="0" xfId="1" applyNumberFormat="1" applyFont="1" applyBorder="1" applyAlignment="1">
      <alignment horizontal="center"/>
    </xf>
    <xf numFmtId="0" fontId="0" fillId="0" borderId="1" xfId="0" applyBorder="1"/>
    <xf numFmtId="49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15" fontId="0" fillId="0" borderId="1" xfId="0" applyNumberFormat="1" applyBorder="1" applyAlignment="1">
      <alignment horizontal="center" vertical="center" wrapText="1"/>
    </xf>
    <xf numFmtId="15" fontId="0" fillId="0" borderId="1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9" fontId="2" fillId="0" borderId="1" xfId="0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e8b32c3daf63075f/Documents/SKRIPSI/Nilai%20Perusahaan/CEI/SAMPEL%20CEI.xlsx" TargetMode="External"/><Relationship Id="rId1" Type="http://schemas.openxmlformats.org/officeDocument/2006/relationships/externalLinkPath" Target="CEI/SAMPEL%20CE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2021"/>
      <sheetName val="2022"/>
      <sheetName val="2023"/>
      <sheetName val="2024"/>
    </sheetNames>
    <sheetDataSet>
      <sheetData sheetId="0"/>
      <sheetData sheetId="1">
        <row r="5">
          <cell r="I5">
            <v>14286</v>
          </cell>
        </row>
        <row r="19">
          <cell r="I19">
            <v>14269</v>
          </cell>
        </row>
        <row r="21">
          <cell r="I21">
            <v>14381</v>
          </cell>
        </row>
        <row r="23">
          <cell r="I23">
            <v>14286</v>
          </cell>
        </row>
        <row r="24">
          <cell r="I24">
            <v>14269</v>
          </cell>
        </row>
        <row r="25">
          <cell r="I25">
            <v>14269</v>
          </cell>
        </row>
      </sheetData>
      <sheetData sheetId="2">
        <row r="5">
          <cell r="I5">
            <v>15625</v>
          </cell>
        </row>
        <row r="19">
          <cell r="I19">
            <v>15731</v>
          </cell>
        </row>
        <row r="21">
          <cell r="I21">
            <v>15731</v>
          </cell>
        </row>
        <row r="23">
          <cell r="I23">
            <v>15625</v>
          </cell>
        </row>
        <row r="24">
          <cell r="I24">
            <v>15731</v>
          </cell>
        </row>
        <row r="25">
          <cell r="I25">
            <v>15731</v>
          </cell>
        </row>
      </sheetData>
      <sheetData sheetId="3">
        <row r="5">
          <cell r="I5">
            <v>15385</v>
          </cell>
        </row>
        <row r="19">
          <cell r="I19">
            <v>15416</v>
          </cell>
        </row>
        <row r="21">
          <cell r="I21">
            <v>15255</v>
          </cell>
        </row>
        <row r="23">
          <cell r="I23">
            <v>15625</v>
          </cell>
        </row>
        <row r="24">
          <cell r="I24">
            <v>15416</v>
          </cell>
        </row>
        <row r="25">
          <cell r="I25">
            <v>15439</v>
          </cell>
        </row>
      </sheetData>
      <sheetData sheetId="4">
        <row r="5">
          <cell r="I5">
            <v>16129</v>
          </cell>
        </row>
        <row r="19">
          <cell r="I19">
            <v>16162</v>
          </cell>
        </row>
        <row r="21">
          <cell r="I21">
            <v>15847</v>
          </cell>
        </row>
        <row r="23">
          <cell r="I23">
            <v>16129</v>
          </cell>
        </row>
        <row r="24">
          <cell r="I24">
            <v>16162</v>
          </cell>
        </row>
        <row r="25">
          <cell r="I25">
            <v>16157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E8434-1C96-4BEB-AEC1-18B59F5F5B71}">
  <dimension ref="B3:J20"/>
  <sheetViews>
    <sheetView workbookViewId="0">
      <selection activeCell="B23" sqref="B23"/>
    </sheetView>
  </sheetViews>
  <sheetFormatPr defaultRowHeight="14.5" x14ac:dyDescent="0.35"/>
  <cols>
    <col min="4" max="4" width="31.90625" bestFit="1" customWidth="1"/>
  </cols>
  <sheetData>
    <row r="3" spans="2:10" x14ac:dyDescent="0.35">
      <c r="B3" s="38" t="s">
        <v>0</v>
      </c>
      <c r="C3" s="38" t="s">
        <v>42</v>
      </c>
      <c r="D3" s="38" t="s">
        <v>41</v>
      </c>
      <c r="E3" s="35">
        <v>2021</v>
      </c>
      <c r="F3" s="3">
        <v>2022</v>
      </c>
      <c r="G3" s="3">
        <v>2023</v>
      </c>
      <c r="H3" s="3">
        <v>2024</v>
      </c>
      <c r="I3" s="3">
        <v>2025</v>
      </c>
    </row>
    <row r="4" spans="2:10" x14ac:dyDescent="0.35">
      <c r="B4" s="39"/>
      <c r="C4" s="39"/>
      <c r="D4" s="39"/>
      <c r="E4" s="36">
        <v>44225</v>
      </c>
      <c r="F4" s="37">
        <v>44592</v>
      </c>
      <c r="G4" s="37">
        <v>44957</v>
      </c>
      <c r="H4" s="37">
        <v>45322</v>
      </c>
      <c r="I4" s="37">
        <v>45688</v>
      </c>
    </row>
    <row r="5" spans="2:10" x14ac:dyDescent="0.35">
      <c r="B5" s="40"/>
      <c r="C5" s="40"/>
      <c r="D5" s="40"/>
      <c r="E5" s="36" t="s">
        <v>85</v>
      </c>
      <c r="F5" s="3" t="s">
        <v>85</v>
      </c>
      <c r="G5" s="3" t="s">
        <v>85</v>
      </c>
      <c r="H5" s="3" t="s">
        <v>85</v>
      </c>
      <c r="I5" s="3" t="s">
        <v>85</v>
      </c>
    </row>
    <row r="6" spans="2:10" x14ac:dyDescent="0.35">
      <c r="B6" s="33">
        <v>1</v>
      </c>
      <c r="C6" s="34" t="s">
        <v>7</v>
      </c>
      <c r="D6" s="33" t="s">
        <v>36</v>
      </c>
      <c r="E6" s="25">
        <v>39.76</v>
      </c>
      <c r="F6" s="25">
        <v>38.74</v>
      </c>
      <c r="G6" s="25">
        <v>43.6</v>
      </c>
      <c r="H6" s="25">
        <v>43.88</v>
      </c>
      <c r="I6" s="25">
        <v>42.72</v>
      </c>
    </row>
    <row r="7" spans="2:10" x14ac:dyDescent="0.35">
      <c r="B7" s="33">
        <v>2</v>
      </c>
      <c r="C7" s="34" t="s">
        <v>8</v>
      </c>
      <c r="D7" s="33" t="s">
        <v>22</v>
      </c>
      <c r="E7" s="25"/>
      <c r="F7" s="25">
        <v>28.95</v>
      </c>
      <c r="G7" s="25">
        <v>28.95</v>
      </c>
      <c r="H7" s="25">
        <v>32.67</v>
      </c>
      <c r="I7" s="25">
        <v>31.93</v>
      </c>
      <c r="J7" s="12"/>
    </row>
    <row r="8" spans="2:10" x14ac:dyDescent="0.35">
      <c r="B8" s="33">
        <v>3</v>
      </c>
      <c r="C8" s="34" t="s">
        <v>9</v>
      </c>
      <c r="D8" s="33" t="s">
        <v>35</v>
      </c>
      <c r="E8" s="25">
        <v>45.76</v>
      </c>
      <c r="F8" s="25">
        <v>39.94</v>
      </c>
      <c r="G8" s="25">
        <v>39.94</v>
      </c>
      <c r="H8" s="25">
        <v>40.53</v>
      </c>
      <c r="I8" s="25">
        <v>42.18</v>
      </c>
    </row>
    <row r="9" spans="2:10" x14ac:dyDescent="0.35">
      <c r="B9" s="33">
        <v>4</v>
      </c>
      <c r="C9" s="34" t="s">
        <v>10</v>
      </c>
      <c r="D9" s="33" t="s">
        <v>34</v>
      </c>
      <c r="E9" s="25">
        <v>26.08</v>
      </c>
      <c r="F9" s="25">
        <v>26.91</v>
      </c>
      <c r="G9" s="25">
        <v>26.03</v>
      </c>
      <c r="H9" s="25">
        <v>22.67</v>
      </c>
      <c r="I9" s="25">
        <v>21.51</v>
      </c>
    </row>
    <row r="10" spans="2:10" x14ac:dyDescent="0.35">
      <c r="B10" s="33">
        <v>5</v>
      </c>
      <c r="C10" s="34" t="s">
        <v>11</v>
      </c>
      <c r="D10" s="33" t="s">
        <v>33</v>
      </c>
      <c r="E10" s="25">
        <v>27.51</v>
      </c>
      <c r="F10" s="25">
        <v>25.06</v>
      </c>
      <c r="G10" s="25">
        <v>25.7</v>
      </c>
      <c r="H10" s="25">
        <v>21.39</v>
      </c>
      <c r="I10" s="25">
        <v>23.17</v>
      </c>
    </row>
    <row r="11" spans="2:10" x14ac:dyDescent="0.35">
      <c r="B11" s="33">
        <v>6</v>
      </c>
      <c r="C11" s="34" t="s">
        <v>12</v>
      </c>
      <c r="D11" s="33" t="s">
        <v>32</v>
      </c>
      <c r="E11" s="25">
        <v>25.34</v>
      </c>
      <c r="F11" s="25">
        <v>20.94</v>
      </c>
      <c r="G11" s="25">
        <v>18.84</v>
      </c>
      <c r="H11" s="25">
        <v>18.84</v>
      </c>
      <c r="I11" s="25">
        <v>17.829999999999998</v>
      </c>
    </row>
    <row r="12" spans="2:10" x14ac:dyDescent="0.35">
      <c r="B12" s="33">
        <v>7</v>
      </c>
      <c r="C12" s="34" t="s">
        <v>13</v>
      </c>
      <c r="D12" s="33" t="s">
        <v>31</v>
      </c>
      <c r="E12" s="25">
        <v>50.64</v>
      </c>
      <c r="F12" s="25">
        <v>45.07</v>
      </c>
      <c r="G12" s="25">
        <v>44.83</v>
      </c>
      <c r="H12" s="25">
        <v>41.17</v>
      </c>
      <c r="I12" s="25">
        <v>42.89</v>
      </c>
    </row>
    <row r="13" spans="2:10" x14ac:dyDescent="0.35">
      <c r="B13" s="33">
        <v>8</v>
      </c>
      <c r="C13" s="34" t="s">
        <v>14</v>
      </c>
      <c r="D13" s="33" t="s">
        <v>30</v>
      </c>
      <c r="E13" s="25">
        <v>29.88</v>
      </c>
      <c r="F13" s="25">
        <v>28.55</v>
      </c>
      <c r="G13" s="25">
        <v>28.14</v>
      </c>
      <c r="H13" s="25">
        <v>27.37</v>
      </c>
      <c r="I13" s="25">
        <v>26.44</v>
      </c>
    </row>
    <row r="14" spans="2:10" x14ac:dyDescent="0.35">
      <c r="B14" s="33">
        <v>9</v>
      </c>
      <c r="C14" s="34" t="s">
        <v>15</v>
      </c>
      <c r="D14" s="33" t="s">
        <v>29</v>
      </c>
      <c r="E14" s="25">
        <v>36.58</v>
      </c>
      <c r="F14" s="25">
        <v>35.520000000000003</v>
      </c>
      <c r="G14" s="25">
        <v>44.71</v>
      </c>
      <c r="H14" s="25">
        <v>34.5</v>
      </c>
      <c r="I14" s="25">
        <v>33.549999999999997</v>
      </c>
    </row>
    <row r="15" spans="2:10" x14ac:dyDescent="0.35">
      <c r="B15" s="33">
        <v>10</v>
      </c>
      <c r="C15" s="34" t="s">
        <v>16</v>
      </c>
      <c r="D15" s="33" t="s">
        <v>28</v>
      </c>
      <c r="E15" s="25">
        <v>31.45</v>
      </c>
      <c r="F15" s="25">
        <v>32.840000000000003</v>
      </c>
      <c r="G15" s="25">
        <v>33.78</v>
      </c>
      <c r="H15" s="25">
        <v>34.31</v>
      </c>
      <c r="I15" s="25">
        <v>31.41</v>
      </c>
    </row>
    <row r="16" spans="2:10" x14ac:dyDescent="0.35">
      <c r="B16" s="33">
        <v>11</v>
      </c>
      <c r="C16" s="34" t="s">
        <v>17</v>
      </c>
      <c r="D16" s="33" t="s">
        <v>27</v>
      </c>
      <c r="E16" s="25">
        <v>52.8</v>
      </c>
      <c r="F16" s="25">
        <v>45.78</v>
      </c>
      <c r="G16" s="25">
        <v>32.130000000000003</v>
      </c>
      <c r="H16" s="25">
        <v>31.79</v>
      </c>
      <c r="I16" s="25">
        <v>29.91</v>
      </c>
    </row>
    <row r="17" spans="2:9" x14ac:dyDescent="0.35">
      <c r="B17" s="33">
        <v>12</v>
      </c>
      <c r="C17" s="34" t="s">
        <v>18</v>
      </c>
      <c r="D17" s="33" t="s">
        <v>26</v>
      </c>
      <c r="E17" s="25">
        <v>46.87</v>
      </c>
      <c r="F17" s="25">
        <v>42.21</v>
      </c>
      <c r="G17" s="25">
        <v>35.67</v>
      </c>
      <c r="H17" s="25">
        <v>29.58</v>
      </c>
      <c r="I17" s="25">
        <v>29.08</v>
      </c>
    </row>
    <row r="18" spans="2:9" x14ac:dyDescent="0.35">
      <c r="B18" s="33">
        <v>13</v>
      </c>
      <c r="C18" s="34" t="s">
        <v>19</v>
      </c>
      <c r="D18" s="33" t="s">
        <v>25</v>
      </c>
      <c r="E18" s="25">
        <v>29.08</v>
      </c>
      <c r="F18" s="25">
        <v>28.07</v>
      </c>
      <c r="G18" s="25">
        <v>28.05</v>
      </c>
      <c r="H18" s="25">
        <v>24.68</v>
      </c>
      <c r="I18" s="25">
        <v>20.22</v>
      </c>
    </row>
    <row r="19" spans="2:9" x14ac:dyDescent="0.35">
      <c r="B19" s="33">
        <v>14</v>
      </c>
      <c r="C19" s="34" t="s">
        <v>20</v>
      </c>
      <c r="D19" s="33" t="s">
        <v>24</v>
      </c>
      <c r="E19" s="25">
        <v>28.16</v>
      </c>
      <c r="F19" s="25">
        <v>34.53</v>
      </c>
      <c r="G19" s="25">
        <v>34.57</v>
      </c>
      <c r="H19" s="25">
        <v>22.87</v>
      </c>
      <c r="I19" s="25">
        <v>23.05</v>
      </c>
    </row>
    <row r="20" spans="2:9" x14ac:dyDescent="0.35">
      <c r="B20" s="33">
        <v>15</v>
      </c>
      <c r="C20" s="34" t="s">
        <v>21</v>
      </c>
      <c r="D20" s="33" t="s">
        <v>23</v>
      </c>
      <c r="E20" s="25">
        <v>27.65</v>
      </c>
      <c r="F20" s="25">
        <v>27.65</v>
      </c>
      <c r="G20" s="25">
        <v>26.78</v>
      </c>
      <c r="H20" s="25">
        <v>24.51</v>
      </c>
      <c r="I20" s="25">
        <v>23.77</v>
      </c>
    </row>
  </sheetData>
  <sortState xmlns:xlrd2="http://schemas.microsoft.com/office/spreadsheetml/2017/richdata2" ref="B6:S20">
    <sortCondition ref="C6:C20"/>
  </sortState>
  <mergeCells count="3">
    <mergeCell ref="B3:B5"/>
    <mergeCell ref="C3:C5"/>
    <mergeCell ref="D3:D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7A1BE-3C27-4BC0-B4F7-8B01DA75A681}">
  <dimension ref="B3:H19"/>
  <sheetViews>
    <sheetView topLeftCell="A2" workbookViewId="0">
      <selection activeCell="B22" sqref="B22"/>
    </sheetView>
  </sheetViews>
  <sheetFormatPr defaultRowHeight="14.5" x14ac:dyDescent="0.35"/>
  <cols>
    <col min="2" max="2" width="6.08984375" customWidth="1"/>
    <col min="3" max="3" width="7.36328125" customWidth="1"/>
    <col min="4" max="4" width="32" bestFit="1" customWidth="1"/>
    <col min="5" max="5" width="25.6328125" style="9" bestFit="1" customWidth="1"/>
    <col min="6" max="7" width="24.54296875" style="9" bestFit="1" customWidth="1"/>
    <col min="8" max="8" width="25.6328125" style="9" bestFit="1" customWidth="1"/>
  </cols>
  <sheetData>
    <row r="3" spans="2:8" x14ac:dyDescent="0.35">
      <c r="B3" s="27" t="s">
        <v>0</v>
      </c>
      <c r="C3" s="27" t="s">
        <v>42</v>
      </c>
      <c r="D3" s="27" t="s">
        <v>41</v>
      </c>
      <c r="E3" s="41" t="s">
        <v>86</v>
      </c>
      <c r="F3" s="41" t="s">
        <v>87</v>
      </c>
      <c r="G3" s="41" t="s">
        <v>88</v>
      </c>
      <c r="H3" s="41" t="s">
        <v>89</v>
      </c>
    </row>
    <row r="4" spans="2:8" x14ac:dyDescent="0.35">
      <c r="B4" s="27"/>
      <c r="C4" s="27"/>
      <c r="D4" s="27"/>
      <c r="E4" s="41"/>
      <c r="F4" s="41"/>
      <c r="G4" s="41"/>
      <c r="H4" s="41"/>
    </row>
    <row r="5" spans="2:8" x14ac:dyDescent="0.35">
      <c r="B5" s="17">
        <v>1</v>
      </c>
      <c r="C5" s="18" t="s">
        <v>7</v>
      </c>
      <c r="D5" s="17" t="s">
        <v>36</v>
      </c>
      <c r="E5" s="13">
        <v>2.0267076634404503E-8</v>
      </c>
      <c r="F5" s="13">
        <v>8.4587593378208111E-9</v>
      </c>
      <c r="G5" s="13">
        <v>3.5287001591652541E-8</v>
      </c>
      <c r="H5" s="13">
        <v>3.7475601044812052E-8</v>
      </c>
    </row>
    <row r="6" spans="2:8" x14ac:dyDescent="0.35">
      <c r="B6" s="33">
        <v>2</v>
      </c>
      <c r="C6" s="42" t="s">
        <v>8</v>
      </c>
      <c r="D6" s="17" t="s">
        <v>22</v>
      </c>
      <c r="E6" s="13">
        <v>12.030851063717019</v>
      </c>
      <c r="F6" s="13">
        <v>9.5198554473521835</v>
      </c>
      <c r="G6" s="13">
        <v>9.6848106043757216</v>
      </c>
      <c r="H6" s="13">
        <v>10.003905113712955</v>
      </c>
    </row>
    <row r="7" spans="2:8" x14ac:dyDescent="0.35">
      <c r="B7" s="17">
        <v>3</v>
      </c>
      <c r="C7" s="18" t="s">
        <v>9</v>
      </c>
      <c r="D7" s="17" t="s">
        <v>35</v>
      </c>
      <c r="E7" s="13">
        <v>3.0738007826384269E-8</v>
      </c>
      <c r="F7" s="13">
        <v>3.5156375665801504E-8</v>
      </c>
      <c r="G7" s="13">
        <v>3.7381346864000374E-8</v>
      </c>
      <c r="H7" s="13">
        <v>1.9106067657102423E-8</v>
      </c>
    </row>
    <row r="8" spans="2:8" x14ac:dyDescent="0.35">
      <c r="B8" s="17">
        <v>4</v>
      </c>
      <c r="C8" s="18" t="s">
        <v>10</v>
      </c>
      <c r="D8" s="17" t="s">
        <v>34</v>
      </c>
      <c r="E8" s="13">
        <v>1.5682118280141385E-9</v>
      </c>
      <c r="F8" s="13">
        <v>1.9078450686118949E-9</v>
      </c>
      <c r="G8" s="13">
        <v>1.6205015962281809E-9</v>
      </c>
      <c r="H8" s="13">
        <v>1.5243840239003034E-9</v>
      </c>
    </row>
    <row r="9" spans="2:8" x14ac:dyDescent="0.35">
      <c r="B9" s="33">
        <v>5</v>
      </c>
      <c r="C9" s="18" t="s">
        <v>11</v>
      </c>
      <c r="D9" s="17" t="s">
        <v>33</v>
      </c>
      <c r="E9" s="13">
        <v>5.8988799139133708E-10</v>
      </c>
      <c r="F9" s="13">
        <v>5.4031764871896562E-9</v>
      </c>
      <c r="G9" s="13">
        <v>3.0804420948463827E-9</v>
      </c>
      <c r="H9" s="13">
        <v>2.8016324260011283E-9</v>
      </c>
    </row>
    <row r="10" spans="2:8" x14ac:dyDescent="0.35">
      <c r="B10" s="17">
        <v>6</v>
      </c>
      <c r="C10" s="18" t="s">
        <v>12</v>
      </c>
      <c r="D10" s="17" t="s">
        <v>32</v>
      </c>
      <c r="E10" s="13">
        <v>3.0251109908410778E-9</v>
      </c>
      <c r="F10" s="13">
        <v>3.2419463145226132E-9</v>
      </c>
      <c r="G10" s="13">
        <v>2.7171110879721701E-9</v>
      </c>
      <c r="H10" s="13">
        <v>2.3612026385682209E-9</v>
      </c>
    </row>
    <row r="11" spans="2:8" x14ac:dyDescent="0.35">
      <c r="B11" s="17">
        <v>7</v>
      </c>
      <c r="C11" s="18" t="s">
        <v>13</v>
      </c>
      <c r="D11" s="17" t="s">
        <v>31</v>
      </c>
      <c r="E11" s="13">
        <v>1.8560241759832136E-8</v>
      </c>
      <c r="F11" s="13">
        <v>1.3926696043001259E-8</v>
      </c>
      <c r="G11" s="13">
        <v>1.5002503414300053E-8</v>
      </c>
      <c r="H11" s="13">
        <v>1.3758471058237773E-8</v>
      </c>
    </row>
    <row r="12" spans="2:8" x14ac:dyDescent="0.35">
      <c r="B12" s="33">
        <v>8</v>
      </c>
      <c r="C12" s="18" t="s">
        <v>14</v>
      </c>
      <c r="D12" s="17" t="s">
        <v>30</v>
      </c>
      <c r="E12" s="13">
        <v>1.3641124408425998E-7</v>
      </c>
      <c r="F12" s="13">
        <v>1.0293776564704488E-7</v>
      </c>
      <c r="G12" s="13">
        <v>1.2064803979963875E-7</v>
      </c>
      <c r="H12" s="13">
        <v>1.2366622754858607E-7</v>
      </c>
    </row>
    <row r="13" spans="2:8" x14ac:dyDescent="0.35">
      <c r="B13" s="17">
        <v>9</v>
      </c>
      <c r="C13" s="18" t="s">
        <v>15</v>
      </c>
      <c r="D13" s="17" t="s">
        <v>29</v>
      </c>
      <c r="E13" s="13">
        <v>6.6589026543838791E-8</v>
      </c>
      <c r="F13" s="13">
        <v>1.7824447932138654E-8</v>
      </c>
      <c r="G13" s="13">
        <v>2.8118610439111674E-8</v>
      </c>
      <c r="H13" s="13">
        <v>3.2099463761638289E-8</v>
      </c>
    </row>
    <row r="14" spans="2:8" x14ac:dyDescent="0.35">
      <c r="B14" s="17">
        <v>10</v>
      </c>
      <c r="C14" s="18" t="s">
        <v>16</v>
      </c>
      <c r="D14" s="17" t="s">
        <v>28</v>
      </c>
      <c r="E14" s="13">
        <v>3.8666043904587244E-9</v>
      </c>
      <c r="F14" s="13">
        <v>4.22785970622439E-9</v>
      </c>
      <c r="G14" s="13">
        <v>3.0876139124464289E-9</v>
      </c>
      <c r="H14" s="13">
        <v>3.1526969432249002E-9</v>
      </c>
    </row>
    <row r="15" spans="2:8" x14ac:dyDescent="0.35">
      <c r="B15" s="33">
        <v>11</v>
      </c>
      <c r="C15" s="18" t="s">
        <v>17</v>
      </c>
      <c r="D15" s="17" t="s">
        <v>27</v>
      </c>
      <c r="E15" s="13">
        <v>2.5665773366481798E-8</v>
      </c>
      <c r="F15" s="13">
        <v>5.9726486440795129E-8</v>
      </c>
      <c r="G15" s="13">
        <v>1.5519850383349462E-7</v>
      </c>
      <c r="H15" s="13">
        <v>1.5005058011315239E-7</v>
      </c>
    </row>
    <row r="16" spans="2:8" x14ac:dyDescent="0.35">
      <c r="B16" s="17">
        <v>12</v>
      </c>
      <c r="C16" s="18" t="s">
        <v>18</v>
      </c>
      <c r="D16" s="17" t="s">
        <v>26</v>
      </c>
      <c r="E16" s="13">
        <v>3.0682370348980943E-7</v>
      </c>
      <c r="F16" s="13">
        <v>1.5770860555334997E-7</v>
      </c>
      <c r="G16" s="13">
        <v>1.6344963763346667E-7</v>
      </c>
      <c r="H16" s="13">
        <v>1.3358656655715993E-7</v>
      </c>
    </row>
    <row r="17" spans="2:8" x14ac:dyDescent="0.35">
      <c r="B17" s="17">
        <v>13</v>
      </c>
      <c r="C17" s="18" t="s">
        <v>19</v>
      </c>
      <c r="D17" s="17" t="s">
        <v>25</v>
      </c>
      <c r="E17" s="13">
        <v>1.205082635095469E-9</v>
      </c>
      <c r="F17" s="13">
        <v>1.1583960524229631E-8</v>
      </c>
      <c r="G17" s="13">
        <v>1.1344527045886638E-8</v>
      </c>
      <c r="H17" s="13">
        <v>1.0967313783127604E-8</v>
      </c>
    </row>
    <row r="18" spans="2:8" x14ac:dyDescent="0.35">
      <c r="B18" s="33">
        <v>14</v>
      </c>
      <c r="C18" s="18" t="s">
        <v>20</v>
      </c>
      <c r="D18" s="17" t="s">
        <v>24</v>
      </c>
      <c r="E18" s="13">
        <v>7.2568730772492987E-7</v>
      </c>
      <c r="F18" s="13">
        <v>1.2985278129335224E-6</v>
      </c>
      <c r="G18" s="13">
        <v>1.4260385404291078E-6</v>
      </c>
      <c r="H18" s="13">
        <v>1.3946167546474372E-6</v>
      </c>
    </row>
    <row r="19" spans="2:8" x14ac:dyDescent="0.35">
      <c r="B19" s="17">
        <v>15</v>
      </c>
      <c r="C19" s="18" t="s">
        <v>21</v>
      </c>
      <c r="D19" s="17" t="s">
        <v>23</v>
      </c>
      <c r="E19" s="13">
        <v>1.2995194402169874E-10</v>
      </c>
      <c r="F19" s="13">
        <v>1.1700987254941938E-10</v>
      </c>
      <c r="G19" s="13">
        <v>2.1585737046057844E-10</v>
      </c>
      <c r="H19" s="13">
        <v>3.6297009653485074E-10</v>
      </c>
    </row>
  </sheetData>
  <sortState xmlns:xlrd2="http://schemas.microsoft.com/office/spreadsheetml/2017/richdata2" ref="B5:H19">
    <sortCondition ref="C5:C19"/>
  </sortState>
  <mergeCells count="7">
    <mergeCell ref="H3:H4"/>
    <mergeCell ref="B3:B4"/>
    <mergeCell ref="C3:C4"/>
    <mergeCell ref="D3:D4"/>
    <mergeCell ref="E3:E4"/>
    <mergeCell ref="F3:F4"/>
    <mergeCell ref="G3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61194-FD9E-4325-ABE7-4A32C3E98053}">
  <dimension ref="B3:T26"/>
  <sheetViews>
    <sheetView zoomScale="91" zoomScaleNormal="85" workbookViewId="0">
      <selection activeCell="D20" sqref="D20"/>
    </sheetView>
  </sheetViews>
  <sheetFormatPr defaultRowHeight="14.5" x14ac:dyDescent="0.35"/>
  <cols>
    <col min="4" max="4" width="32" bestFit="1" customWidth="1"/>
    <col min="5" max="7" width="23.7265625" customWidth="1"/>
    <col min="8" max="8" width="26.08984375" style="11" bestFit="1" customWidth="1"/>
    <col min="9" max="11" width="23.7265625" customWidth="1"/>
    <col min="12" max="12" width="26.08984375" style="11" bestFit="1" customWidth="1"/>
    <col min="13" max="13" width="25.36328125" bestFit="1" customWidth="1"/>
    <col min="14" max="15" width="23.7265625" customWidth="1"/>
    <col min="16" max="16" width="26.08984375" style="11" bestFit="1" customWidth="1"/>
    <col min="17" max="17" width="24.36328125" bestFit="1" customWidth="1"/>
    <col min="18" max="19" width="23.7265625" customWidth="1"/>
    <col min="20" max="20" width="26.36328125" style="11" bestFit="1" customWidth="1"/>
  </cols>
  <sheetData>
    <row r="3" spans="2:20" x14ac:dyDescent="0.35">
      <c r="B3" s="27" t="s">
        <v>0</v>
      </c>
      <c r="C3" s="27" t="s">
        <v>42</v>
      </c>
      <c r="D3" s="27" t="s">
        <v>41</v>
      </c>
      <c r="E3" s="28">
        <v>2021</v>
      </c>
      <c r="F3" s="28"/>
      <c r="G3" s="28"/>
      <c r="H3" s="28"/>
      <c r="I3" s="28">
        <v>2022</v>
      </c>
      <c r="J3" s="28"/>
      <c r="K3" s="28"/>
      <c r="L3" s="28"/>
      <c r="M3" s="28">
        <v>2023</v>
      </c>
      <c r="N3" s="28"/>
      <c r="O3" s="28"/>
      <c r="P3" s="28"/>
      <c r="Q3" s="28">
        <v>2024</v>
      </c>
      <c r="R3" s="28"/>
      <c r="S3" s="28"/>
      <c r="T3" s="28"/>
    </row>
    <row r="4" spans="2:20" x14ac:dyDescent="0.35">
      <c r="B4" s="27"/>
      <c r="C4" s="27"/>
      <c r="D4" s="27"/>
      <c r="E4" s="26" t="s">
        <v>40</v>
      </c>
      <c r="F4" s="26" t="s">
        <v>39</v>
      </c>
      <c r="G4" s="26" t="s">
        <v>38</v>
      </c>
      <c r="H4" s="16" t="s">
        <v>37</v>
      </c>
      <c r="I4" s="26" t="s">
        <v>40</v>
      </c>
      <c r="J4" s="26" t="s">
        <v>39</v>
      </c>
      <c r="K4" s="26" t="s">
        <v>38</v>
      </c>
      <c r="L4" s="16" t="s">
        <v>37</v>
      </c>
      <c r="M4" s="26" t="s">
        <v>40</v>
      </c>
      <c r="N4" s="26" t="s">
        <v>39</v>
      </c>
      <c r="O4" s="26" t="s">
        <v>38</v>
      </c>
      <c r="P4" s="16" t="s">
        <v>37</v>
      </c>
      <c r="Q4" s="26" t="s">
        <v>40</v>
      </c>
      <c r="R4" s="26" t="s">
        <v>39</v>
      </c>
      <c r="S4" s="25" t="s">
        <v>38</v>
      </c>
      <c r="T4" s="13" t="s">
        <v>37</v>
      </c>
    </row>
    <row r="5" spans="2:20" x14ac:dyDescent="0.35">
      <c r="B5" s="17">
        <v>1</v>
      </c>
      <c r="C5" s="18" t="s">
        <v>7</v>
      </c>
      <c r="D5" s="17" t="s">
        <v>36</v>
      </c>
      <c r="E5" s="15">
        <f>2250*31985952000</f>
        <v>71968392000000</v>
      </c>
      <c r="F5" s="15">
        <f>3128621000*'[1]2021'!$I$5</f>
        <v>44695479606000</v>
      </c>
      <c r="G5" s="15">
        <f>7586936000*'[1]2021'!$I$5</f>
        <v>108386967696000</v>
      </c>
      <c r="H5" s="16">
        <f>(E5+F5)/G5</f>
        <v>1.0763643829691294</v>
      </c>
      <c r="I5" s="15">
        <f>3850*31985952000</f>
        <v>123145915200000</v>
      </c>
      <c r="J5" s="15">
        <f>4254969000*'[1]2022'!$I$5</f>
        <v>66483890625000</v>
      </c>
      <c r="K5" s="15">
        <f>5462998000*'[1]2022'!$I$5</f>
        <v>85359343750000</v>
      </c>
      <c r="L5" s="16">
        <f>(I5+J5)/K5</f>
        <v>2.2215471381831002</v>
      </c>
      <c r="M5" s="15">
        <f>2380*31985962000</f>
        <v>76126589560000</v>
      </c>
      <c r="N5" s="15">
        <f>3063961000*'[1]2023'!$I$5</f>
        <v>47139039985000</v>
      </c>
      <c r="O5" s="15">
        <f>10472711000*'[1]2023'!$I$5</f>
        <v>161122658735000</v>
      </c>
      <c r="P5" s="16">
        <f>(M5+N5)/O5</f>
        <v>0.76504217664218277</v>
      </c>
      <c r="Q5" s="15">
        <f>2430*30758665900</f>
        <v>74743558137000</v>
      </c>
      <c r="R5" s="15">
        <f>1331295000*'[1]2024'!$I$5</f>
        <v>21472457055000</v>
      </c>
      <c r="S5" s="14">
        <f>6702127000*'[1]2024'!$I$5</f>
        <v>108098606383000</v>
      </c>
      <c r="T5" s="13">
        <f>(Q5+R5)/S5</f>
        <v>0.89007637019020158</v>
      </c>
    </row>
    <row r="6" spans="2:20" x14ac:dyDescent="0.35">
      <c r="B6" s="17">
        <v>2</v>
      </c>
      <c r="C6" s="18" t="s">
        <v>8</v>
      </c>
      <c r="D6" s="17" t="s">
        <v>22</v>
      </c>
      <c r="E6" s="15">
        <f>1215*41524501700</f>
        <v>50452269565500</v>
      </c>
      <c r="F6" s="15">
        <v>17942427000000</v>
      </c>
      <c r="G6" s="15">
        <v>27370210000000</v>
      </c>
      <c r="H6" s="16">
        <f>(E6+F6)/G6</f>
        <v>2.4988736500560282</v>
      </c>
      <c r="I6" s="15">
        <f>2650*41524501700</f>
        <v>110039929505000</v>
      </c>
      <c r="J6" s="15">
        <v>19275574000000</v>
      </c>
      <c r="K6" s="15">
        <v>30746266000000</v>
      </c>
      <c r="L6" s="16">
        <f>(I6+J6)/K6</f>
        <v>4.2058929531475462</v>
      </c>
      <c r="M6" s="15">
        <f>2930*41524501700</f>
        <v>121666789981000</v>
      </c>
      <c r="N6" s="32">
        <v>18540983000000</v>
      </c>
      <c r="O6" s="15">
        <v>34246183000000</v>
      </c>
      <c r="P6" s="16">
        <f>(M6+N6)/O6</f>
        <v>4.0941138748513959</v>
      </c>
      <c r="Q6" s="15">
        <f>41524501700*2850</f>
        <v>118344829845000</v>
      </c>
      <c r="R6" s="15">
        <v>21102439000000</v>
      </c>
      <c r="S6" s="14">
        <v>38798382000000</v>
      </c>
      <c r="T6" s="13">
        <f>(Q6+R6)/S6</f>
        <v>3.5941516541849605</v>
      </c>
    </row>
    <row r="7" spans="2:20" x14ac:dyDescent="0.35">
      <c r="B7" s="17">
        <v>3</v>
      </c>
      <c r="C7" s="18" t="s">
        <v>9</v>
      </c>
      <c r="D7" s="17" t="s">
        <v>35</v>
      </c>
      <c r="E7" s="15">
        <f>2250*24030764725</f>
        <v>54069220631250</v>
      </c>
      <c r="F7" s="15">
        <v>12079056000000</v>
      </c>
      <c r="G7" s="15">
        <v>32916154000000</v>
      </c>
      <c r="H7" s="16">
        <f>(E7+F7)/G7</f>
        <v>2.0095991965297646</v>
      </c>
      <c r="I7" s="15">
        <f>1985*24030764725</f>
        <v>47701067979125</v>
      </c>
      <c r="J7" s="15">
        <v>9925211000000</v>
      </c>
      <c r="K7" s="15">
        <v>33637271000000</v>
      </c>
      <c r="L7" s="16">
        <f>(I7+J7)/K7</f>
        <v>1.7131674855289241</v>
      </c>
      <c r="M7" s="15">
        <f>1705*24030764725</f>
        <v>40972453856125</v>
      </c>
      <c r="N7" s="30">
        <v>11685659000000</v>
      </c>
      <c r="O7" s="15">
        <v>42851329000000</v>
      </c>
      <c r="P7" s="16">
        <f>(M7+N7)/O7</f>
        <v>1.2288560024853605</v>
      </c>
      <c r="Q7" s="15">
        <f>1525*24030764725</f>
        <v>36646916205625</v>
      </c>
      <c r="R7" s="15">
        <v>12323139000000</v>
      </c>
      <c r="S7" s="14">
        <v>44522645000000</v>
      </c>
      <c r="T7" s="13">
        <f>(Q7+R7)/S7</f>
        <v>1.0998909702158306</v>
      </c>
    </row>
    <row r="8" spans="2:20" x14ac:dyDescent="0.35">
      <c r="B8" s="17">
        <v>4</v>
      </c>
      <c r="C8" s="18" t="s">
        <v>10</v>
      </c>
      <c r="D8" s="17" t="s">
        <v>34</v>
      </c>
      <c r="E8" s="15">
        <f>7300*123275050000</f>
        <v>899907865000000</v>
      </c>
      <c r="F8" s="15">
        <v>1019773758000000</v>
      </c>
      <c r="G8" s="15">
        <v>1228344680000000</v>
      </c>
      <c r="H8" s="16">
        <f>(E8+F8)/G8</f>
        <v>1.5628199920237371</v>
      </c>
      <c r="I8" s="15">
        <f>8550*123275050000</f>
        <v>1054001677500000</v>
      </c>
      <c r="J8" s="15">
        <v>1087109644000000</v>
      </c>
      <c r="K8" s="15">
        <v>1314731674000000</v>
      </c>
      <c r="L8" s="16">
        <f>(I8+J8)/K8</f>
        <v>1.6285538439838334</v>
      </c>
      <c r="M8" s="15">
        <f>9400*123275050000</f>
        <v>1158785470000000</v>
      </c>
      <c r="N8" s="15">
        <v>1157675545000000</v>
      </c>
      <c r="O8" s="15">
        <v>1408107010000000</v>
      </c>
      <c r="P8" s="16">
        <f>(M8+N8)/O8</f>
        <v>1.6450887599799677</v>
      </c>
      <c r="Q8" s="15">
        <f>9675*123275050000</f>
        <v>1192686108750000</v>
      </c>
      <c r="R8" s="15">
        <v>1177403108000000</v>
      </c>
      <c r="S8" s="14">
        <v>1449301328000000</v>
      </c>
      <c r="T8" s="13">
        <f>(Q8+R8)/S8</f>
        <v>1.635332260421416</v>
      </c>
    </row>
    <row r="9" spans="2:20" x14ac:dyDescent="0.35">
      <c r="B9" s="17">
        <v>5</v>
      </c>
      <c r="C9" s="18" t="s">
        <v>11</v>
      </c>
      <c r="D9" s="17" t="s">
        <v>33</v>
      </c>
      <c r="E9" s="15">
        <f>6750*18648656458</f>
        <v>125878431091500</v>
      </c>
      <c r="F9" s="15">
        <v>838317715000000</v>
      </c>
      <c r="G9" s="15">
        <v>964837692000000</v>
      </c>
      <c r="H9" s="16">
        <f>(E9+F9)/G9</f>
        <v>0.99933507374989661</v>
      </c>
      <c r="I9" s="15">
        <f>9225*18648656458</f>
        <v>172033855825050</v>
      </c>
      <c r="J9" s="15">
        <v>889639206000000</v>
      </c>
      <c r="K9" s="15">
        <v>1029836868000000</v>
      </c>
      <c r="L9" s="16">
        <f>(I9+J9)/K9</f>
        <v>1.0309138221929048</v>
      </c>
      <c r="M9" s="15">
        <f>5375*37297312916</f>
        <v>200473056923500</v>
      </c>
      <c r="N9" s="15">
        <v>931931466000000</v>
      </c>
      <c r="O9" s="15">
        <v>1088663986000000</v>
      </c>
      <c r="P9" s="16">
        <f>(M9+N9)/O9</f>
        <v>1.0401781793886768</v>
      </c>
      <c r="Q9" s="15">
        <f>4350*37297312916</f>
        <v>162243311184600</v>
      </c>
      <c r="R9" s="15">
        <v>962619084000000</v>
      </c>
      <c r="S9" s="14">
        <v>1129805637000000</v>
      </c>
      <c r="T9" s="13">
        <f>(Q9+R9)/S9</f>
        <v>0.99562469715718016</v>
      </c>
    </row>
    <row r="10" spans="2:20" x14ac:dyDescent="0.35">
      <c r="B10" s="17">
        <v>6</v>
      </c>
      <c r="C10" s="18" t="s">
        <v>12</v>
      </c>
      <c r="D10" s="17" t="s">
        <v>32</v>
      </c>
      <c r="E10" s="15">
        <f>4110*151559001604</f>
        <v>622907496592440</v>
      </c>
      <c r="F10" s="15">
        <v>1386310930000000</v>
      </c>
      <c r="G10" s="15">
        <v>1678097734000000</v>
      </c>
      <c r="H10" s="16">
        <f>(E10+F10)/G10</f>
        <v>1.197319074976142</v>
      </c>
      <c r="I10" s="15">
        <f>4940*151559001604</f>
        <v>748701467923760</v>
      </c>
      <c r="J10" s="15">
        <v>1562243693000000</v>
      </c>
      <c r="K10" s="15">
        <v>1865639010000000</v>
      </c>
      <c r="L10" s="16">
        <f>(I10+J10)/K10</f>
        <v>1.2386882717057679</v>
      </c>
      <c r="M10" s="15">
        <f>5725*151559001604</f>
        <v>867675284182900</v>
      </c>
      <c r="N10" s="15">
        <v>1648534888000000</v>
      </c>
      <c r="O10" s="15">
        <v>1965007030000000</v>
      </c>
      <c r="P10" s="16">
        <f>(M10+N10)/O10</f>
        <v>1.2805095013746084</v>
      </c>
      <c r="Q10" s="15">
        <f>4080*151559001604</f>
        <v>618360726544320</v>
      </c>
      <c r="R10" s="15">
        <v>1669794400000000</v>
      </c>
      <c r="S10" s="14">
        <v>1992983447000000</v>
      </c>
      <c r="T10" s="13">
        <f>(Q10+R10)/S10</f>
        <v>1.1481054345878468</v>
      </c>
    </row>
    <row r="11" spans="2:20" x14ac:dyDescent="0.35">
      <c r="B11" s="17">
        <v>7</v>
      </c>
      <c r="C11" s="18" t="s">
        <v>13</v>
      </c>
      <c r="D11" s="17" t="s">
        <v>31</v>
      </c>
      <c r="E11" s="15">
        <f>5950*16398000000</f>
        <v>97568100000000</v>
      </c>
      <c r="F11" s="15">
        <v>10296052000000</v>
      </c>
      <c r="G11" s="15">
        <v>35446051000000</v>
      </c>
      <c r="H11" s="16">
        <f>(E11+F11)/G11</f>
        <v>3.0430513119783074</v>
      </c>
      <c r="I11" s="15">
        <f>5650*16398000000</f>
        <v>92648700000000</v>
      </c>
      <c r="J11" s="15">
        <v>13520331000000</v>
      </c>
      <c r="K11" s="15">
        <v>39847545000000</v>
      </c>
      <c r="L11" s="16">
        <f>(I11+J11)/K11</f>
        <v>2.6643807291013788</v>
      </c>
      <c r="M11" s="15">
        <f>5025*16398000000</f>
        <v>82399950000000</v>
      </c>
      <c r="N11" s="15">
        <v>13942042000000</v>
      </c>
      <c r="O11" s="15">
        <v>40970800000000</v>
      </c>
      <c r="P11" s="16">
        <f>(M11+N11)/O11</f>
        <v>2.351479395081375</v>
      </c>
      <c r="Q11" s="15">
        <f>4760*16398000000</f>
        <v>78054480000000</v>
      </c>
      <c r="R11" s="15">
        <v>12502078000000</v>
      </c>
      <c r="S11" s="14">
        <v>42791000000000</v>
      </c>
      <c r="T11" s="13">
        <f>(Q11+R11)/S11</f>
        <v>2.1162524362599613</v>
      </c>
    </row>
    <row r="12" spans="2:20" x14ac:dyDescent="0.35">
      <c r="B12" s="17">
        <v>8</v>
      </c>
      <c r="C12" s="18" t="s">
        <v>14</v>
      </c>
      <c r="D12" s="17" t="s">
        <v>30</v>
      </c>
      <c r="E12" s="15">
        <f>7825*5470982941</f>
        <v>42810441513325</v>
      </c>
      <c r="F12" s="15">
        <f>4231500000*'[1]2021'!$I$19</f>
        <v>60379273500000</v>
      </c>
      <c r="G12" s="15">
        <f>8978445000*'[1]2021'!$I$19</f>
        <v>128113431705000</v>
      </c>
      <c r="H12" s="16">
        <f>(E12+F12)/G12</f>
        <v>0.80545586547813719</v>
      </c>
      <c r="I12" s="15">
        <f>8725*5470982941</f>
        <v>47734326160225</v>
      </c>
      <c r="J12" s="15">
        <f>'[1]2022'!$I$19*4035517000</f>
        <v>63482717927000</v>
      </c>
      <c r="K12" s="15">
        <f>9640721000*'[1]2022'!$I$19</f>
        <v>151658182051000</v>
      </c>
      <c r="L12" s="16">
        <f>(I12+J12)/K12</f>
        <v>0.73334021668428451</v>
      </c>
      <c r="M12" s="15">
        <f>8325*5470982941</f>
        <v>45545932983825</v>
      </c>
      <c r="N12" s="15">
        <f>4125086000*'[1]2023'!$I$19</f>
        <v>63592325776000</v>
      </c>
      <c r="O12" s="15">
        <f>10125138000*'[1]2023'!$I$19</f>
        <v>156089127408000</v>
      </c>
      <c r="P12" s="16">
        <f>(M12+N12)/O12</f>
        <v>0.69920474649428632</v>
      </c>
      <c r="Q12" s="15">
        <f>6800*5470982941</f>
        <v>37202683998800</v>
      </c>
      <c r="R12" s="15">
        <f>5368843000*'[1]2024'!$I$19</f>
        <v>86771240566000</v>
      </c>
      <c r="S12" s="14">
        <f>11777052000*'[1]2024'!$I$19</f>
        <v>190340714424000</v>
      </c>
      <c r="T12" s="13">
        <f>(Q12+R12)/S12</f>
        <v>0.6513263593654357</v>
      </c>
    </row>
    <row r="13" spans="2:20" x14ac:dyDescent="0.35">
      <c r="B13" s="17">
        <v>9</v>
      </c>
      <c r="C13" s="18" t="s">
        <v>15</v>
      </c>
      <c r="D13" s="17" t="s">
        <v>29</v>
      </c>
      <c r="E13" s="15">
        <f>20400*1129925000</f>
        <v>23050470000000</v>
      </c>
      <c r="F13" s="15">
        <f>464680000*'[1]2021'!$I$21</f>
        <v>6682563080000</v>
      </c>
      <c r="G13" s="15">
        <f>1666239000*'[1]2021'!$I$21</f>
        <v>23962183059000</v>
      </c>
      <c r="H13" s="16">
        <f>(E13+F13)/G13</f>
        <v>1.240831563918485</v>
      </c>
      <c r="I13" s="15">
        <f>39025*1129925000</f>
        <v>44095323125000</v>
      </c>
      <c r="J13" s="15">
        <f>689897000*'[1]2022'!$I$21</f>
        <v>10852769707000</v>
      </c>
      <c r="K13" s="15">
        <f>2640177000*'[1]2022'!$I$21</f>
        <v>41532624387000</v>
      </c>
      <c r="L13" s="16">
        <f>(I13+J13)/K13</f>
        <v>1.3230103717982034</v>
      </c>
      <c r="M13" s="15">
        <f>25650*1129925000</f>
        <v>28982576250000</v>
      </c>
      <c r="N13" s="15">
        <f>399307000*'[1]2023'!$I$21</f>
        <v>6091428285000</v>
      </c>
      <c r="O13" s="15">
        <f>2187847000*'[1]2023'!$I$21</f>
        <v>33375605985000</v>
      </c>
      <c r="P13" s="16">
        <f>(M13+N13)/O13</f>
        <v>1.0508874221119255</v>
      </c>
      <c r="Q13" s="15">
        <f>26700*1129925000</f>
        <v>30168997500000</v>
      </c>
      <c r="R13" s="15">
        <f>472734000*'[1]2024'!$I$21</f>
        <v>7491415698000</v>
      </c>
      <c r="S13" s="14">
        <f>2406544000*'[1]2024'!$I$21</f>
        <v>38136502768000</v>
      </c>
      <c r="T13" s="13">
        <f>(Q13+R13)/S13</f>
        <v>0.98751617124159896</v>
      </c>
    </row>
    <row r="14" spans="2:20" x14ac:dyDescent="0.35">
      <c r="B14" s="17">
        <v>10</v>
      </c>
      <c r="C14" s="18" t="s">
        <v>16</v>
      </c>
      <c r="D14" s="17" t="s">
        <v>28</v>
      </c>
      <c r="E14" s="15">
        <f>1615*46875122110</f>
        <v>75703322207650</v>
      </c>
      <c r="F14" s="15">
        <v>4400757363148</v>
      </c>
      <c r="G14" s="15">
        <v>25666635156271</v>
      </c>
      <c r="H14" s="16">
        <f>(E14+F14)/G14</f>
        <v>3.1209419966070846</v>
      </c>
      <c r="I14" s="15">
        <f>2090*46875122110</f>
        <v>97969005209900</v>
      </c>
      <c r="J14" s="15">
        <v>5143984823285</v>
      </c>
      <c r="K14" s="15">
        <v>27241313025674</v>
      </c>
      <c r="L14" s="16">
        <f>(I14+J14)/K14</f>
        <v>3.7851696038294689</v>
      </c>
      <c r="M14" s="15">
        <f>1610*46875122110</f>
        <v>75468946597100</v>
      </c>
      <c r="N14" s="15">
        <v>3937546172108</v>
      </c>
      <c r="O14" s="15">
        <v>27057568182323</v>
      </c>
      <c r="P14" s="16">
        <f>(M14+N14)/O14</f>
        <v>2.9347239276693431</v>
      </c>
      <c r="Q14" s="15">
        <f>1360*46875122110</f>
        <v>63750166069600</v>
      </c>
      <c r="R14" s="15">
        <v>4839294087709</v>
      </c>
      <c r="S14" s="14">
        <v>29429727898195</v>
      </c>
      <c r="T14" s="13">
        <f>(Q14+R14)/S14</f>
        <v>2.3306182236742923</v>
      </c>
    </row>
    <row r="15" spans="2:20" x14ac:dyDescent="0.35">
      <c r="B15" s="17">
        <v>11</v>
      </c>
      <c r="C15" s="18" t="s">
        <v>17</v>
      </c>
      <c r="D15" s="17" t="s">
        <v>27</v>
      </c>
      <c r="E15" s="15">
        <f>3890*22904850815</f>
        <v>89099869670350</v>
      </c>
      <c r="F15" s="15">
        <f>499182362*'[1]2021'!$I$23</f>
        <v>7131319223532</v>
      </c>
      <c r="G15" s="15">
        <f>1278592659*'[1]2021'!$I$23</f>
        <v>18265974726474</v>
      </c>
      <c r="H15" s="16">
        <f>(E15+F15)/G15</f>
        <v>5.2683303428865598</v>
      </c>
      <c r="I15" s="15">
        <f>4120*24110850771</f>
        <v>99336705176520</v>
      </c>
      <c r="J15" s="15">
        <f>1851832467*'[1]2022'!$I$23</f>
        <v>28934882296875</v>
      </c>
      <c r="K15" s="15">
        <f>3876665735*'[1]2022'!$I$23</f>
        <v>60572902109375</v>
      </c>
      <c r="L15" s="16">
        <f>(I15+J15)/K15</f>
        <v>2.1176397862162548</v>
      </c>
      <c r="M15" s="15">
        <f>2700*24110850771</f>
        <v>65099297081700</v>
      </c>
      <c r="N15" s="15">
        <f>2200203593*'[1]2023'!$I$23</f>
        <v>34378181140625</v>
      </c>
      <c r="O15" s="15">
        <f>4964258915*'[1]2023'!$I$23</f>
        <v>77566545546875</v>
      </c>
      <c r="P15" s="16">
        <f>(M15+N15)/O15</f>
        <v>1.2824791605835892</v>
      </c>
      <c r="Q15" s="15">
        <f>1615*24472983771</f>
        <v>39523868790165</v>
      </c>
      <c r="R15" s="15">
        <f>2320487740*'[1]2024'!$I$23</f>
        <v>37427146758460</v>
      </c>
      <c r="S15" s="14">
        <f>5237063884*'[1]2024'!$I$23</f>
        <v>84468603385036</v>
      </c>
      <c r="T15" s="13">
        <f>(Q15+R15)/S15</f>
        <v>0.91100139536884095</v>
      </c>
    </row>
    <row r="16" spans="2:20" x14ac:dyDescent="0.35">
      <c r="B16" s="17">
        <v>12</v>
      </c>
      <c r="C16" s="18" t="s">
        <v>18</v>
      </c>
      <c r="D16" s="17" t="s">
        <v>26</v>
      </c>
      <c r="E16" s="15">
        <f>466*25136231252</f>
        <v>11713483763432</v>
      </c>
      <c r="F16" s="15">
        <f>4454547678*'[1]2021'!$I$24</f>
        <v>63561940817382</v>
      </c>
      <c r="G16" s="15">
        <f>5683884139*'[1]2021'!$I$24</f>
        <v>81103342779391</v>
      </c>
      <c r="H16" s="16">
        <f>(E16+F16)/G16</f>
        <v>0.92814207159833717</v>
      </c>
      <c r="I16" s="15">
        <f>1015*25136231252</f>
        <v>25513274720780</v>
      </c>
      <c r="J16" s="15">
        <f>5184386501*'[1]2022'!$I$24</f>
        <v>81555584047231</v>
      </c>
      <c r="K16" s="15">
        <f>6931905826*'[1]2022'!$I$24</f>
        <v>109045810548806</v>
      </c>
      <c r="L16" s="16">
        <f>(I16+J16)/K16</f>
        <v>0.9818704471923736</v>
      </c>
      <c r="M16" s="15">
        <f>1155*25136231252</f>
        <v>29032347096060</v>
      </c>
      <c r="N16" s="15">
        <f>5440720277*'[1]2023'!$I$24</f>
        <v>83874143790232</v>
      </c>
      <c r="O16" s="15">
        <f>7468316269*'[1]2023'!$I$24</f>
        <v>115131563602904</v>
      </c>
      <c r="P16" s="16">
        <f>(M16+N16)/O16</f>
        <v>0.98067365154280006</v>
      </c>
      <c r="Q16" s="15">
        <f>1100*25136231252</f>
        <v>27649854377200</v>
      </c>
      <c r="R16" s="15">
        <f>5575858796*'[1]2024'!$I$24</f>
        <v>90117029860952</v>
      </c>
      <c r="S16" s="14">
        <f>7926890365*'[1]2024'!$I$24</f>
        <v>128114402079130</v>
      </c>
      <c r="T16" s="13">
        <f>(Q16+R16)/S16</f>
        <v>0.91923220439660758</v>
      </c>
    </row>
    <row r="17" spans="2:20" x14ac:dyDescent="0.35">
      <c r="B17" s="17">
        <v>13</v>
      </c>
      <c r="C17" s="18" t="s">
        <v>19</v>
      </c>
      <c r="D17" s="17" t="s">
        <v>25</v>
      </c>
      <c r="E17" s="15">
        <f>1315*24242000000</f>
        <v>31878230000000</v>
      </c>
      <c r="F17" s="15">
        <f>4226024344*'[1]2021'!$I$25</f>
        <v>60301141364536</v>
      </c>
      <c r="G17" s="15">
        <f>7510948902*'[1]2021'!$I$25</f>
        <v>107173729882638</v>
      </c>
      <c r="H17" s="16">
        <f>(E17+F17)/G17</f>
        <v>0.86009296742287711</v>
      </c>
      <c r="I17" s="15">
        <f>1405*24242000000</f>
        <v>34060010000000</v>
      </c>
      <c r="J17" s="15">
        <f>3753089175*'[1]2022'!$I$25</f>
        <v>59039845811925</v>
      </c>
      <c r="K17" s="15">
        <f>7194859813*'[1]2022'!$I$25</f>
        <v>113182339718303</v>
      </c>
      <c r="L17" s="16">
        <f>(I17+J17)/K17</f>
        <v>0.82256521683187633</v>
      </c>
      <c r="M17" s="15">
        <f>1380*24242000000</f>
        <v>33453960000000</v>
      </c>
      <c r="N17" s="15">
        <f>3058835092*'[1]2023'!$I$25</f>
        <v>47225354985388</v>
      </c>
      <c r="O17" s="15">
        <f>6599238468*'[1]2023'!$I$25</f>
        <v>101885642707452</v>
      </c>
      <c r="P17" s="16">
        <f>(M17+N17)/O17</f>
        <v>0.79186147175854293</v>
      </c>
      <c r="Q17" s="15">
        <f>1360*24242000000</f>
        <v>32969120000000</v>
      </c>
      <c r="R17" s="15">
        <f>2744422446*'[1]2024'!$I$25</f>
        <v>44341633460022</v>
      </c>
      <c r="S17" s="14">
        <f>6415949730*'[1]2024'!$I$25</f>
        <v>103662499787610</v>
      </c>
      <c r="T17" s="13">
        <f>(Q17+R17)/S17</f>
        <v>0.74579287223847535</v>
      </c>
    </row>
    <row r="18" spans="2:20" x14ac:dyDescent="0.35">
      <c r="B18" s="17">
        <v>14</v>
      </c>
      <c r="C18" s="24" t="s">
        <v>20</v>
      </c>
      <c r="D18" s="23" t="s">
        <v>24</v>
      </c>
      <c r="E18" s="21">
        <f>7250*5931520000</f>
        <v>43003520000000</v>
      </c>
      <c r="F18" s="21">
        <v>38891315000000</v>
      </c>
      <c r="G18" s="21">
        <v>81766327000000</v>
      </c>
      <c r="H18" s="22">
        <f>(E18+F18)/G18</f>
        <v>1.001571649415046</v>
      </c>
      <c r="I18" s="21">
        <f>6575*6751540089</f>
        <v>44391376085175</v>
      </c>
      <c r="J18" s="21">
        <v>35720652000000</v>
      </c>
      <c r="K18" s="21">
        <v>82960012000000</v>
      </c>
      <c r="L18" s="22">
        <f>(I18+J18)/K18</f>
        <v>0.96567040136367144</v>
      </c>
      <c r="M18" s="21">
        <f>6400*6751540089</f>
        <v>43209856569600</v>
      </c>
      <c r="N18" s="21">
        <v>34019553000000</v>
      </c>
      <c r="O18" s="21">
        <v>81820529000000</v>
      </c>
      <c r="P18" s="22">
        <f>(M18+N18)/O18</f>
        <v>0.94388792780354669</v>
      </c>
      <c r="Q18" s="21">
        <f>3290*6751540089</f>
        <v>22212566892810</v>
      </c>
      <c r="R18" s="21">
        <v>28685871000000</v>
      </c>
      <c r="S18" s="20">
        <v>76993082000000</v>
      </c>
      <c r="T18" s="19">
        <f>(Q18+R18)/S18</f>
        <v>0.66107806793355794</v>
      </c>
    </row>
    <row r="19" spans="2:20" x14ac:dyDescent="0.35">
      <c r="B19" s="17">
        <v>15</v>
      </c>
      <c r="C19" s="18" t="s">
        <v>21</v>
      </c>
      <c r="D19" s="17" t="s">
        <v>23</v>
      </c>
      <c r="E19" s="15">
        <f>1125*51014625000</f>
        <v>57391453125000</v>
      </c>
      <c r="F19" s="15">
        <v>53766654000000</v>
      </c>
      <c r="G19" s="15">
        <v>65828670000000</v>
      </c>
      <c r="H19" s="16">
        <f>(E19+F19)/G19</f>
        <v>1.688597189112282</v>
      </c>
      <c r="I19" s="15">
        <f>1100*51014625000</f>
        <v>56116087500000</v>
      </c>
      <c r="J19" s="15">
        <v>51192802000000</v>
      </c>
      <c r="K19" s="15">
        <v>65625136000000</v>
      </c>
      <c r="L19" s="16">
        <f>(I19+J19)/K19</f>
        <v>1.6351796893799961</v>
      </c>
      <c r="M19" s="15">
        <f>990*51014625000</f>
        <v>50504478750000</v>
      </c>
      <c r="N19" s="15">
        <v>51907282000000</v>
      </c>
      <c r="O19" s="15">
        <v>68418946000000</v>
      </c>
      <c r="P19" s="16">
        <f>(M19+N19)/O19</f>
        <v>1.4968333588477087</v>
      </c>
      <c r="Q19" s="15">
        <f>800*51014625000</f>
        <v>40811700000000</v>
      </c>
      <c r="R19" s="15">
        <v>58659171000000</v>
      </c>
      <c r="S19" s="14">
        <v>77828380000000</v>
      </c>
      <c r="T19" s="13">
        <f>(Q19+R19)/S19</f>
        <v>1.2780796799316649</v>
      </c>
    </row>
    <row r="20" spans="2:20" x14ac:dyDescent="0.35">
      <c r="H20"/>
      <c r="L20"/>
      <c r="P20"/>
      <c r="T20"/>
    </row>
    <row r="21" spans="2:20" x14ac:dyDescent="0.35">
      <c r="H21"/>
      <c r="L21"/>
      <c r="P21"/>
      <c r="T21"/>
    </row>
    <row r="22" spans="2:20" x14ac:dyDescent="0.35">
      <c r="H22"/>
      <c r="L22"/>
      <c r="P22"/>
      <c r="T22"/>
    </row>
    <row r="23" spans="2:20" x14ac:dyDescent="0.35">
      <c r="H23"/>
      <c r="L23"/>
      <c r="P23"/>
      <c r="T23"/>
    </row>
    <row r="24" spans="2:20" x14ac:dyDescent="0.35">
      <c r="H24"/>
      <c r="L24"/>
      <c r="P24"/>
      <c r="T24"/>
    </row>
    <row r="25" spans="2:20" x14ac:dyDescent="0.35">
      <c r="H25"/>
      <c r="L25"/>
      <c r="P25"/>
      <c r="T25"/>
    </row>
    <row r="26" spans="2:20" x14ac:dyDescent="0.35">
      <c r="H26"/>
      <c r="L26"/>
      <c r="P26"/>
      <c r="T26"/>
    </row>
  </sheetData>
  <sortState xmlns:xlrd2="http://schemas.microsoft.com/office/spreadsheetml/2017/richdata2" ref="B5:AA19">
    <sortCondition ref="C5:C19"/>
  </sortState>
  <mergeCells count="7">
    <mergeCell ref="Q3:T3"/>
    <mergeCell ref="B3:B4"/>
    <mergeCell ref="C3:C4"/>
    <mergeCell ref="D3:D4"/>
    <mergeCell ref="E3:H3"/>
    <mergeCell ref="I3:L3"/>
    <mergeCell ref="M3:P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17C5B-8C21-40E7-9A20-75182B1FEC48}">
  <dimension ref="B2:H62"/>
  <sheetViews>
    <sheetView tabSelected="1" workbookViewId="0">
      <selection activeCell="G13" sqref="G13"/>
    </sheetView>
  </sheetViews>
  <sheetFormatPr defaultRowHeight="14.5" x14ac:dyDescent="0.35"/>
  <cols>
    <col min="2" max="4" width="8.7265625" style="12"/>
    <col min="5" max="5" width="9" bestFit="1" customWidth="1"/>
    <col min="6" max="6" width="24.54296875" bestFit="1" customWidth="1"/>
    <col min="7" max="8" width="17.453125" bestFit="1" customWidth="1"/>
  </cols>
  <sheetData>
    <row r="2" spans="2:8" x14ac:dyDescent="0.35">
      <c r="B2" s="1" t="s">
        <v>0</v>
      </c>
      <c r="C2" s="1" t="s">
        <v>1</v>
      </c>
      <c r="D2" s="1" t="s">
        <v>2</v>
      </c>
      <c r="E2" s="2" t="s">
        <v>3</v>
      </c>
      <c r="F2" s="2" t="s">
        <v>4</v>
      </c>
      <c r="G2" s="2" t="s">
        <v>5</v>
      </c>
      <c r="H2" s="2" t="s">
        <v>6</v>
      </c>
    </row>
    <row r="3" spans="2:8" x14ac:dyDescent="0.35">
      <c r="B3" s="3">
        <v>1</v>
      </c>
      <c r="C3" s="4" t="s">
        <v>7</v>
      </c>
      <c r="D3" s="3">
        <v>2021</v>
      </c>
      <c r="E3" s="5">
        <v>38.74</v>
      </c>
      <c r="F3" s="6">
        <v>2.0267076634404503E-8</v>
      </c>
      <c r="G3" s="7">
        <v>3.2488854193030029E-3</v>
      </c>
      <c r="H3" s="7">
        <v>1.0763643829691294</v>
      </c>
    </row>
    <row r="4" spans="2:8" x14ac:dyDescent="0.35">
      <c r="B4" s="3"/>
      <c r="C4" s="4" t="s">
        <v>7</v>
      </c>
      <c r="D4" s="3">
        <v>2022</v>
      </c>
      <c r="E4" s="5">
        <v>43.6</v>
      </c>
      <c r="F4" s="6">
        <v>8.4587593378208111E-9</v>
      </c>
      <c r="G4" s="7">
        <v>5.6426675486243999E-3</v>
      </c>
      <c r="H4" s="7">
        <v>2.2215471381831002</v>
      </c>
    </row>
    <row r="5" spans="2:8" x14ac:dyDescent="0.35">
      <c r="B5" s="3"/>
      <c r="C5" s="4" t="s">
        <v>7</v>
      </c>
      <c r="D5" s="3">
        <v>2023</v>
      </c>
      <c r="E5" s="5">
        <v>43.88</v>
      </c>
      <c r="F5" s="6">
        <v>3.5287001591652541E-8</v>
      </c>
      <c r="G5" s="7">
        <v>4.0042362066475242E-3</v>
      </c>
      <c r="H5" s="7">
        <v>0.76504217664218277</v>
      </c>
    </row>
    <row r="6" spans="2:8" x14ac:dyDescent="0.35">
      <c r="B6" s="3"/>
      <c r="C6" s="4" t="s">
        <v>7</v>
      </c>
      <c r="D6" s="3">
        <v>2024</v>
      </c>
      <c r="E6" s="5">
        <v>42.72</v>
      </c>
      <c r="F6" s="8">
        <v>3.7475601044812052E-8</v>
      </c>
      <c r="G6" s="7">
        <v>5.5286085793422989E-3</v>
      </c>
      <c r="H6" s="7">
        <v>0.89007637019020158</v>
      </c>
    </row>
    <row r="7" spans="2:8" x14ac:dyDescent="0.35">
      <c r="B7" s="3">
        <v>2</v>
      </c>
      <c r="C7" s="4" t="s">
        <v>8</v>
      </c>
      <c r="D7" s="3">
        <v>2021</v>
      </c>
      <c r="E7" s="5">
        <v>28.95</v>
      </c>
      <c r="F7" s="13">
        <v>1.203085106371702E-8</v>
      </c>
      <c r="G7" s="10">
        <v>0.24848183481237449</v>
      </c>
      <c r="H7" s="10">
        <v>2.4988736500560282</v>
      </c>
    </row>
    <row r="8" spans="2:8" x14ac:dyDescent="0.35">
      <c r="B8" s="3"/>
      <c r="C8" s="4" t="s">
        <v>8</v>
      </c>
      <c r="D8" s="3">
        <v>2022</v>
      </c>
      <c r="E8" s="5">
        <v>28.95</v>
      </c>
      <c r="F8" s="13">
        <v>9.5198554473521846E-9</v>
      </c>
      <c r="G8" s="10">
        <v>3.5441702091564551E-4</v>
      </c>
      <c r="H8" s="10">
        <v>4.2058929531475462</v>
      </c>
    </row>
    <row r="9" spans="2:8" x14ac:dyDescent="0.35">
      <c r="B9" s="3"/>
      <c r="C9" s="4" t="s">
        <v>8</v>
      </c>
      <c r="D9" s="3">
        <v>2023</v>
      </c>
      <c r="E9" s="5">
        <v>32.67</v>
      </c>
      <c r="F9" s="13">
        <v>9.6848106043757221E-9</v>
      </c>
      <c r="G9" s="10">
        <v>4.3815101963334135E-4</v>
      </c>
      <c r="H9" s="10">
        <v>4.0941138748513959</v>
      </c>
    </row>
    <row r="10" spans="2:8" x14ac:dyDescent="0.35">
      <c r="B10" s="3"/>
      <c r="C10" s="4" t="s">
        <v>8</v>
      </c>
      <c r="D10" s="3">
        <v>2024</v>
      </c>
      <c r="E10" s="5">
        <v>31.93</v>
      </c>
      <c r="F10" s="8">
        <v>1.0003905113712955E-8</v>
      </c>
      <c r="G10" s="10">
        <v>9.1606912886212631E-4</v>
      </c>
      <c r="H10" s="10">
        <v>3.5941516541849605</v>
      </c>
    </row>
    <row r="11" spans="2:8" x14ac:dyDescent="0.35">
      <c r="B11" s="3">
        <v>3</v>
      </c>
      <c r="C11" s="4" t="s">
        <v>9</v>
      </c>
      <c r="D11" s="3">
        <v>2021</v>
      </c>
      <c r="E11" s="5">
        <v>39.94</v>
      </c>
      <c r="F11" s="6">
        <v>3.0738007826384269E-8</v>
      </c>
      <c r="G11" s="7">
        <v>3.1012292626896813E-3</v>
      </c>
      <c r="H11" s="7">
        <v>2.0095991965297646</v>
      </c>
    </row>
    <row r="12" spans="2:8" x14ac:dyDescent="0.35">
      <c r="B12" s="3"/>
      <c r="C12" s="4" t="s">
        <v>9</v>
      </c>
      <c r="D12" s="3">
        <v>2022</v>
      </c>
      <c r="E12" s="5">
        <v>39.94</v>
      </c>
      <c r="F12" s="6">
        <v>3.5156375665801504E-8</v>
      </c>
      <c r="G12" s="7">
        <v>4.2490486222856779E-3</v>
      </c>
      <c r="H12" s="7">
        <v>1.7131674855289241</v>
      </c>
    </row>
    <row r="13" spans="2:8" x14ac:dyDescent="0.35">
      <c r="B13" s="3"/>
      <c r="C13" s="4" t="s">
        <v>9</v>
      </c>
      <c r="D13" s="3">
        <v>2023</v>
      </c>
      <c r="E13" s="5">
        <v>40.53</v>
      </c>
      <c r="F13" s="6">
        <v>3.7381346864000374E-8</v>
      </c>
      <c r="G13" s="7">
        <v>3.5498481272307797E-3</v>
      </c>
      <c r="H13" s="7">
        <v>1.2288560024853605</v>
      </c>
    </row>
    <row r="14" spans="2:8" x14ac:dyDescent="0.35">
      <c r="B14" s="3"/>
      <c r="C14" s="4" t="s">
        <v>9</v>
      </c>
      <c r="D14" s="3">
        <v>2024</v>
      </c>
      <c r="E14" s="5">
        <v>42.18</v>
      </c>
      <c r="F14" s="8">
        <v>1.9106067657102423E-8</v>
      </c>
      <c r="G14" s="7">
        <v>3.5561678781662678E-3</v>
      </c>
      <c r="H14" s="7">
        <v>1.0998909702158306</v>
      </c>
    </row>
    <row r="15" spans="2:8" x14ac:dyDescent="0.35">
      <c r="B15" s="3">
        <v>4</v>
      </c>
      <c r="C15" s="4" t="s">
        <v>10</v>
      </c>
      <c r="D15" s="3">
        <v>2021</v>
      </c>
      <c r="E15" s="5">
        <v>26.91</v>
      </c>
      <c r="F15" s="6">
        <v>1.5682118280141385E-9</v>
      </c>
      <c r="G15" s="7">
        <v>8.9551411579362233E-7</v>
      </c>
      <c r="H15" s="7">
        <v>1.5628199920237371</v>
      </c>
    </row>
    <row r="16" spans="2:8" x14ac:dyDescent="0.35">
      <c r="B16" s="3"/>
      <c r="C16" s="4" t="s">
        <v>10</v>
      </c>
      <c r="D16" s="3">
        <v>2022</v>
      </c>
      <c r="E16" s="5">
        <v>26.03</v>
      </c>
      <c r="F16" s="6">
        <v>1.9078450686118949E-9</v>
      </c>
      <c r="G16" s="7">
        <v>1.1409172150210173E-6</v>
      </c>
      <c r="H16" s="7">
        <v>1.6285538439838334</v>
      </c>
    </row>
    <row r="17" spans="2:8" x14ac:dyDescent="0.35">
      <c r="B17" s="3"/>
      <c r="C17" s="4" t="s">
        <v>10</v>
      </c>
      <c r="D17" s="3">
        <v>2023</v>
      </c>
      <c r="E17" s="5">
        <v>22.67</v>
      </c>
      <c r="F17" s="6">
        <v>1.6205015962281809E-9</v>
      </c>
      <c r="G17" s="7">
        <v>5.7524037182372949E-6</v>
      </c>
      <c r="H17" s="7">
        <v>1.6450887599799677</v>
      </c>
    </row>
    <row r="18" spans="2:8" x14ac:dyDescent="0.35">
      <c r="B18" s="3"/>
      <c r="C18" s="4" t="s">
        <v>10</v>
      </c>
      <c r="D18" s="3">
        <v>2024</v>
      </c>
      <c r="E18" s="5">
        <v>21.51</v>
      </c>
      <c r="F18" s="8">
        <v>1.5243840239003034E-9</v>
      </c>
      <c r="G18" s="7">
        <v>7.3828677261793E-6</v>
      </c>
      <c r="H18" s="7">
        <v>1.635332260421416</v>
      </c>
    </row>
    <row r="19" spans="2:8" x14ac:dyDescent="0.35">
      <c r="B19" s="3">
        <v>5</v>
      </c>
      <c r="C19" s="4" t="s">
        <v>11</v>
      </c>
      <c r="D19" s="3">
        <v>2021</v>
      </c>
      <c r="E19" s="5">
        <v>25.06</v>
      </c>
      <c r="F19" s="6">
        <v>5.8988799139133708E-10</v>
      </c>
      <c r="G19" s="7">
        <v>2.9020425126592173E-5</v>
      </c>
      <c r="H19" s="7">
        <v>0.99933507374989661</v>
      </c>
    </row>
    <row r="20" spans="2:8" x14ac:dyDescent="0.35">
      <c r="B20" s="3"/>
      <c r="C20" s="4" t="s">
        <v>11</v>
      </c>
      <c r="D20" s="3">
        <v>2022</v>
      </c>
      <c r="E20" s="5">
        <v>25.7</v>
      </c>
      <c r="F20" s="6">
        <v>5.4031764871896562E-9</v>
      </c>
      <c r="G20" s="7">
        <v>6.3116792590882459E-6</v>
      </c>
      <c r="H20" s="7">
        <v>1.0309138221929048</v>
      </c>
    </row>
    <row r="21" spans="2:8" x14ac:dyDescent="0.35">
      <c r="B21" s="3"/>
      <c r="C21" s="4" t="s">
        <v>11</v>
      </c>
      <c r="D21" s="3">
        <v>2023</v>
      </c>
      <c r="E21" s="5">
        <v>21.39</v>
      </c>
      <c r="F21" s="6">
        <v>3.0804420948463827E-9</v>
      </c>
      <c r="G21" s="7">
        <v>5.9706209478670127E-6</v>
      </c>
      <c r="H21" s="7">
        <v>1.0401781793886768</v>
      </c>
    </row>
    <row r="22" spans="2:8" x14ac:dyDescent="0.35">
      <c r="B22" s="3"/>
      <c r="C22" s="4" t="s">
        <v>11</v>
      </c>
      <c r="D22" s="3">
        <v>2024</v>
      </c>
      <c r="E22" s="5">
        <v>23.17</v>
      </c>
      <c r="F22" s="8">
        <v>2.8016324260011283E-9</v>
      </c>
      <c r="G22" s="7">
        <v>6.3727775505867832E-6</v>
      </c>
      <c r="H22" s="7">
        <v>0.99562469715718016</v>
      </c>
    </row>
    <row r="23" spans="2:8" x14ac:dyDescent="0.35">
      <c r="B23" s="3">
        <v>6</v>
      </c>
      <c r="C23" s="4" t="s">
        <v>12</v>
      </c>
      <c r="D23" s="3">
        <v>2021</v>
      </c>
      <c r="E23" s="5">
        <v>20.94</v>
      </c>
      <c r="F23" s="6">
        <v>3.0251109908410778E-9</v>
      </c>
      <c r="G23" s="7">
        <v>4.1809245420267041E-5</v>
      </c>
      <c r="H23" s="7">
        <v>1.197319074976142</v>
      </c>
    </row>
    <row r="24" spans="2:8" x14ac:dyDescent="0.35">
      <c r="B24" s="3"/>
      <c r="C24" s="4" t="s">
        <v>12</v>
      </c>
      <c r="D24" s="3">
        <v>2022</v>
      </c>
      <c r="E24" s="5">
        <v>18.84</v>
      </c>
      <c r="F24" s="6">
        <v>3.2419463145226132E-9</v>
      </c>
      <c r="G24" s="7">
        <v>3.8592675010585248E-5</v>
      </c>
      <c r="H24" s="7">
        <v>1.2386882717057679</v>
      </c>
    </row>
    <row r="25" spans="2:8" x14ac:dyDescent="0.35">
      <c r="B25" s="3"/>
      <c r="C25" s="4" t="s">
        <v>12</v>
      </c>
      <c r="D25" s="3">
        <v>2023</v>
      </c>
      <c r="E25" s="5">
        <v>18.84</v>
      </c>
      <c r="F25" s="6">
        <v>2.7171110879721701E-9</v>
      </c>
      <c r="G25" s="7">
        <v>3.5704197964116192E-5</v>
      </c>
      <c r="H25" s="7">
        <v>1.2805095013746084</v>
      </c>
    </row>
    <row r="26" spans="2:8" x14ac:dyDescent="0.35">
      <c r="B26" s="3"/>
      <c r="C26" s="4" t="s">
        <v>12</v>
      </c>
      <c r="D26" s="3">
        <v>2024</v>
      </c>
      <c r="E26" s="5">
        <v>17.829999999999998</v>
      </c>
      <c r="F26" s="8">
        <v>2.3612026385682209E-9</v>
      </c>
      <c r="G26" s="7">
        <v>3.0348470827013348E-5</v>
      </c>
      <c r="H26" s="7">
        <v>1.1481054345878468</v>
      </c>
    </row>
    <row r="27" spans="2:8" x14ac:dyDescent="0.35">
      <c r="B27" s="3">
        <v>7</v>
      </c>
      <c r="C27" s="4" t="s">
        <v>13</v>
      </c>
      <c r="D27" s="3">
        <v>2021</v>
      </c>
      <c r="E27" s="5">
        <v>45.07</v>
      </c>
      <c r="F27" s="6">
        <v>1.8560241759832136E-8</v>
      </c>
      <c r="G27" s="7">
        <v>1.2943801560574405E-3</v>
      </c>
      <c r="H27" s="7">
        <v>3.0430513119783074</v>
      </c>
    </row>
    <row r="28" spans="2:8" x14ac:dyDescent="0.35">
      <c r="B28" s="3"/>
      <c r="C28" s="4" t="s">
        <v>13</v>
      </c>
      <c r="D28" s="3">
        <v>2022</v>
      </c>
      <c r="E28" s="5">
        <v>44.83</v>
      </c>
      <c r="F28" s="6">
        <v>1.3926696043001259E-8</v>
      </c>
      <c r="G28" s="7">
        <v>1.1949314986908228E-3</v>
      </c>
      <c r="H28" s="7">
        <v>2.6643807291013788</v>
      </c>
    </row>
    <row r="29" spans="2:8" x14ac:dyDescent="0.35">
      <c r="B29" s="3"/>
      <c r="C29" s="4" t="s">
        <v>13</v>
      </c>
      <c r="D29" s="3">
        <v>2023</v>
      </c>
      <c r="E29" s="5">
        <v>41.17</v>
      </c>
      <c r="F29" s="6">
        <v>1.5002503414300053E-8</v>
      </c>
      <c r="G29" s="7">
        <v>1.2677407670096752E-3</v>
      </c>
      <c r="H29" s="7">
        <v>2.351479395081375</v>
      </c>
    </row>
    <row r="30" spans="2:8" x14ac:dyDescent="0.35">
      <c r="B30" s="3"/>
      <c r="C30" s="4" t="s">
        <v>13</v>
      </c>
      <c r="D30" s="3">
        <v>2024</v>
      </c>
      <c r="E30" s="5">
        <v>42.89</v>
      </c>
      <c r="F30" s="8">
        <v>1.3758471058237773E-8</v>
      </c>
      <c r="G30" s="7">
        <v>1.2097718839475591E-3</v>
      </c>
      <c r="H30" s="7">
        <v>2.1162524362599613</v>
      </c>
    </row>
    <row r="31" spans="2:8" x14ac:dyDescent="0.35">
      <c r="B31" s="3">
        <v>8</v>
      </c>
      <c r="C31" s="4" t="s">
        <v>14</v>
      </c>
      <c r="D31" s="3">
        <v>2021</v>
      </c>
      <c r="E31" s="5">
        <v>28.55</v>
      </c>
      <c r="F31" s="6">
        <v>1.3641124408425998E-7</v>
      </c>
      <c r="G31" s="7">
        <v>1.7273592476202727E-3</v>
      </c>
      <c r="H31" s="7">
        <v>0.80545586547813719</v>
      </c>
    </row>
    <row r="32" spans="2:8" x14ac:dyDescent="0.35">
      <c r="B32" s="3"/>
      <c r="C32" s="4" t="s">
        <v>14</v>
      </c>
      <c r="D32" s="3">
        <v>2022</v>
      </c>
      <c r="E32" s="5">
        <v>28.14</v>
      </c>
      <c r="F32" s="6">
        <v>1.0293776564704488E-7</v>
      </c>
      <c r="G32" s="7">
        <v>1.5383704185610184E-3</v>
      </c>
      <c r="H32" s="7">
        <v>0.73334021668428451</v>
      </c>
    </row>
    <row r="33" spans="2:8" x14ac:dyDescent="0.35">
      <c r="B33" s="3"/>
      <c r="C33" s="4" t="s">
        <v>14</v>
      </c>
      <c r="D33" s="3">
        <v>2023</v>
      </c>
      <c r="E33" s="5">
        <v>27.37</v>
      </c>
      <c r="F33" s="6">
        <v>1.2064803979963875E-7</v>
      </c>
      <c r="G33" s="7">
        <v>1.2752418781847713E-3</v>
      </c>
      <c r="H33" s="7">
        <v>0.69920474649428632</v>
      </c>
    </row>
    <row r="34" spans="2:8" x14ac:dyDescent="0.35">
      <c r="B34" s="3"/>
      <c r="C34" s="4" t="s">
        <v>14</v>
      </c>
      <c r="D34" s="3">
        <v>2024</v>
      </c>
      <c r="E34" s="5">
        <v>26.44</v>
      </c>
      <c r="F34" s="8">
        <v>1.2366622754858607E-7</v>
      </c>
      <c r="G34" s="7">
        <v>1.0575651699593412E-3</v>
      </c>
      <c r="H34" s="7">
        <v>0.6513263593654357</v>
      </c>
    </row>
    <row r="35" spans="2:8" x14ac:dyDescent="0.35">
      <c r="B35" s="3">
        <v>9</v>
      </c>
      <c r="C35" s="4" t="s">
        <v>15</v>
      </c>
      <c r="D35" s="3">
        <v>2021</v>
      </c>
      <c r="E35" s="5">
        <v>35.520000000000003</v>
      </c>
      <c r="F35" s="6">
        <v>6.6589026543838791E-8</v>
      </c>
      <c r="G35" s="7">
        <v>6.8778708348152424E-3</v>
      </c>
      <c r="H35" s="7">
        <v>1.240831563918485</v>
      </c>
    </row>
    <row r="36" spans="2:8" x14ac:dyDescent="0.35">
      <c r="B36" s="3"/>
      <c r="C36" s="4" t="s">
        <v>15</v>
      </c>
      <c r="D36" s="3">
        <v>2022</v>
      </c>
      <c r="E36" s="5">
        <v>44.71</v>
      </c>
      <c r="F36" s="6">
        <v>1.7824447932138654E-8</v>
      </c>
      <c r="G36" s="7">
        <v>1.410438200441186E-2</v>
      </c>
      <c r="H36" s="7">
        <v>1.3230103717982034</v>
      </c>
    </row>
    <row r="37" spans="2:8" x14ac:dyDescent="0.35">
      <c r="B37" s="3"/>
      <c r="C37" s="4" t="s">
        <v>15</v>
      </c>
      <c r="D37" s="3">
        <v>2023</v>
      </c>
      <c r="E37" s="5">
        <v>34.5</v>
      </c>
      <c r="F37" s="6">
        <v>2.8118610439111674E-8</v>
      </c>
      <c r="G37" s="7">
        <v>3.4501521875513599E-2</v>
      </c>
      <c r="H37" s="7">
        <v>1.0508874221119255</v>
      </c>
    </row>
    <row r="38" spans="2:8" x14ac:dyDescent="0.35">
      <c r="B38" s="3"/>
      <c r="C38" s="4" t="s">
        <v>15</v>
      </c>
      <c r="D38" s="3">
        <v>2024</v>
      </c>
      <c r="E38" s="5">
        <v>33.549999999999997</v>
      </c>
      <c r="F38" s="8">
        <v>3.2099463761638289E-8</v>
      </c>
      <c r="G38" s="7">
        <v>4.2045845413635229E-2</v>
      </c>
      <c r="H38" s="7">
        <v>0.98751617124159896</v>
      </c>
    </row>
    <row r="39" spans="2:8" x14ac:dyDescent="0.35">
      <c r="B39" s="3">
        <v>10</v>
      </c>
      <c r="C39" s="4" t="s">
        <v>16</v>
      </c>
      <c r="D39" s="3">
        <v>2021</v>
      </c>
      <c r="E39" s="5">
        <v>32.840000000000003</v>
      </c>
      <c r="F39" s="6">
        <v>3.8666043904587244E-9</v>
      </c>
      <c r="G39" s="7">
        <v>8.4155947472228673E-4</v>
      </c>
      <c r="H39" s="7">
        <v>3.1209419966070846</v>
      </c>
    </row>
    <row r="40" spans="2:8" x14ac:dyDescent="0.35">
      <c r="B40" s="3"/>
      <c r="C40" s="4" t="s">
        <v>16</v>
      </c>
      <c r="D40" s="3">
        <v>2022</v>
      </c>
      <c r="E40" s="5">
        <v>33.78</v>
      </c>
      <c r="F40" s="6">
        <v>4.22785970622439E-9</v>
      </c>
      <c r="G40" s="7">
        <v>8.0124495311326724E-4</v>
      </c>
      <c r="H40" s="7">
        <v>3.7851696038294689</v>
      </c>
    </row>
    <row r="41" spans="2:8" x14ac:dyDescent="0.35">
      <c r="B41" s="3"/>
      <c r="C41" s="4" t="s">
        <v>16</v>
      </c>
      <c r="D41" s="3">
        <v>2023</v>
      </c>
      <c r="E41" s="5">
        <v>34.31</v>
      </c>
      <c r="F41" s="6">
        <v>3.0876139124464289E-9</v>
      </c>
      <c r="G41" s="7">
        <v>8.5188209526747933E-4</v>
      </c>
      <c r="H41" s="7">
        <v>2.9347239276693431</v>
      </c>
    </row>
    <row r="42" spans="2:8" x14ac:dyDescent="0.35">
      <c r="B42" s="3"/>
      <c r="C42" s="4" t="s">
        <v>16</v>
      </c>
      <c r="D42" s="3">
        <v>2024</v>
      </c>
      <c r="E42" s="5">
        <v>31.41</v>
      </c>
      <c r="F42" s="8">
        <v>3.1526969432249002E-9</v>
      </c>
      <c r="G42" s="7">
        <v>6.5285436006964925E-4</v>
      </c>
      <c r="H42" s="7">
        <v>2.3306182236742923</v>
      </c>
    </row>
    <row r="43" spans="2:8" x14ac:dyDescent="0.35">
      <c r="B43" s="3">
        <v>11</v>
      </c>
      <c r="C43" s="4" t="s">
        <v>17</v>
      </c>
      <c r="D43" s="3">
        <v>2021</v>
      </c>
      <c r="E43" s="5">
        <v>45.78</v>
      </c>
      <c r="F43" s="6">
        <v>2.5665773366481798E-8</v>
      </c>
      <c r="G43" s="7">
        <v>5.5377621247550118E-3</v>
      </c>
      <c r="H43" s="7">
        <v>5.2683303428865598</v>
      </c>
    </row>
    <row r="44" spans="2:8" x14ac:dyDescent="0.35">
      <c r="B44" s="3"/>
      <c r="C44" s="4" t="s">
        <v>17</v>
      </c>
      <c r="D44" s="3">
        <v>2022</v>
      </c>
      <c r="E44" s="5">
        <v>32.130000000000003</v>
      </c>
      <c r="F44" s="6">
        <v>5.9726486440795129E-8</v>
      </c>
      <c r="G44" s="7">
        <v>1.6477360795719984E-3</v>
      </c>
      <c r="H44" s="7">
        <v>2.1176397862162548</v>
      </c>
    </row>
    <row r="45" spans="2:8" x14ac:dyDescent="0.35">
      <c r="B45" s="3"/>
      <c r="C45" s="4" t="s">
        <v>17</v>
      </c>
      <c r="D45" s="3">
        <v>2023</v>
      </c>
      <c r="E45" s="5">
        <v>31.79</v>
      </c>
      <c r="F45" s="6">
        <v>1.5519850383349462E-7</v>
      </c>
      <c r="G45" s="7">
        <v>1.5848184260147519E-3</v>
      </c>
      <c r="H45" s="7">
        <v>1.2824791605835892</v>
      </c>
    </row>
    <row r="46" spans="2:8" x14ac:dyDescent="0.35">
      <c r="B46" s="3"/>
      <c r="C46" s="4" t="s">
        <v>17</v>
      </c>
      <c r="D46" s="3">
        <v>2024</v>
      </c>
      <c r="E46" s="5">
        <v>29.91</v>
      </c>
      <c r="F46" s="8">
        <v>1.5005058011315239E-7</v>
      </c>
      <c r="G46" s="7">
        <v>1.0306733161095805E-3</v>
      </c>
      <c r="H46" s="7">
        <v>0.91100139536884095</v>
      </c>
    </row>
    <row r="47" spans="2:8" x14ac:dyDescent="0.35">
      <c r="B47" s="3">
        <v>12</v>
      </c>
      <c r="C47" s="4" t="s">
        <v>18</v>
      </c>
      <c r="D47" s="3">
        <v>2021</v>
      </c>
      <c r="E47" s="5">
        <v>42.21</v>
      </c>
      <c r="F47" s="6">
        <v>3.0682370348980943E-7</v>
      </c>
      <c r="G47" s="7">
        <v>3.6240534634866876E-4</v>
      </c>
      <c r="H47" s="7">
        <v>0.92814207159833717</v>
      </c>
    </row>
    <row r="48" spans="2:8" x14ac:dyDescent="0.35">
      <c r="B48" s="3"/>
      <c r="C48" s="4" t="s">
        <v>18</v>
      </c>
      <c r="D48" s="3">
        <v>2022</v>
      </c>
      <c r="E48" s="5">
        <v>35.67</v>
      </c>
      <c r="F48" s="6">
        <v>1.5770860555334997E-7</v>
      </c>
      <c r="G48" s="7">
        <v>4.3003281850990342E-4</v>
      </c>
      <c r="H48" s="7">
        <v>0.9818704471923736</v>
      </c>
    </row>
    <row r="49" spans="2:8" x14ac:dyDescent="0.35">
      <c r="B49" s="3"/>
      <c r="C49" s="4" t="s">
        <v>18</v>
      </c>
      <c r="D49" s="3">
        <v>2023</v>
      </c>
      <c r="E49" s="5">
        <v>29.58</v>
      </c>
      <c r="F49" s="6">
        <v>1.6344963763346667E-7</v>
      </c>
      <c r="G49" s="7">
        <v>3.1318812912474421E-4</v>
      </c>
      <c r="H49" s="7">
        <v>0.98067365154280006</v>
      </c>
    </row>
    <row r="50" spans="2:8" x14ac:dyDescent="0.35">
      <c r="B50" s="3"/>
      <c r="C50" s="4" t="s">
        <v>18</v>
      </c>
      <c r="D50" s="3">
        <v>2024</v>
      </c>
      <c r="E50" s="5">
        <v>29.08</v>
      </c>
      <c r="F50" s="8">
        <v>1.3358656655715993E-7</v>
      </c>
      <c r="G50" s="7">
        <v>4.0300569995331325E-4</v>
      </c>
      <c r="H50" s="7">
        <v>0.91923220439660758</v>
      </c>
    </row>
    <row r="51" spans="2:8" x14ac:dyDescent="0.35">
      <c r="B51" s="3">
        <v>13</v>
      </c>
      <c r="C51" s="4" t="s">
        <v>19</v>
      </c>
      <c r="D51" s="3">
        <v>2021</v>
      </c>
      <c r="E51" s="5">
        <v>28.07</v>
      </c>
      <c r="F51" s="6">
        <v>1.205082635095469E-9</v>
      </c>
      <c r="G51" s="7">
        <v>9.6290257055537935E-5</v>
      </c>
      <c r="H51" s="7">
        <v>0.86009296742287711</v>
      </c>
    </row>
    <row r="52" spans="2:8" x14ac:dyDescent="0.35">
      <c r="B52" s="3"/>
      <c r="C52" s="4" t="s">
        <v>19</v>
      </c>
      <c r="D52" s="3">
        <v>2022</v>
      </c>
      <c r="E52" s="5">
        <v>28.05</v>
      </c>
      <c r="F52" s="6">
        <v>1.1583960524229631E-8</v>
      </c>
      <c r="G52" s="7">
        <v>3.404925105446284E-4</v>
      </c>
      <c r="H52" s="7">
        <v>0.82256521683187633</v>
      </c>
    </row>
    <row r="53" spans="2:8" x14ac:dyDescent="0.35">
      <c r="B53" s="3"/>
      <c r="C53" s="4" t="s">
        <v>19</v>
      </c>
      <c r="D53" s="3">
        <v>2023</v>
      </c>
      <c r="E53" s="5">
        <v>24.68</v>
      </c>
      <c r="F53" s="6">
        <v>1.1344527045886638E-8</v>
      </c>
      <c r="G53" s="7">
        <v>1.9829779000375569E-4</v>
      </c>
      <c r="H53" s="7">
        <v>0.79186147175854293</v>
      </c>
    </row>
    <row r="54" spans="2:8" x14ac:dyDescent="0.35">
      <c r="B54" s="3"/>
      <c r="C54" s="4" t="s">
        <v>19</v>
      </c>
      <c r="D54" s="3">
        <v>2024</v>
      </c>
      <c r="E54" s="5">
        <v>20.22</v>
      </c>
      <c r="F54" s="8">
        <v>1.0967313783127604E-8</v>
      </c>
      <c r="G54" s="7">
        <v>1.9086320641058664E-4</v>
      </c>
      <c r="H54" s="7">
        <v>0.74579287223847535</v>
      </c>
    </row>
    <row r="55" spans="2:8" x14ac:dyDescent="0.35">
      <c r="B55" s="3">
        <v>14</v>
      </c>
      <c r="C55" s="4" t="s">
        <v>20</v>
      </c>
      <c r="D55" s="3">
        <v>2021</v>
      </c>
      <c r="E55" s="5">
        <v>34.53</v>
      </c>
      <c r="F55" s="6">
        <v>7.2568730772492987E-7</v>
      </c>
      <c r="G55" s="7">
        <v>6.206243230541589E-4</v>
      </c>
      <c r="H55" s="7">
        <v>1.001571649415046</v>
      </c>
    </row>
    <row r="56" spans="2:8" x14ac:dyDescent="0.35">
      <c r="B56" s="3"/>
      <c r="C56" s="4" t="s">
        <v>20</v>
      </c>
      <c r="D56" s="3">
        <v>2022</v>
      </c>
      <c r="E56" s="5">
        <v>34.57</v>
      </c>
      <c r="F56" s="6">
        <v>1.2985278129335224E-6</v>
      </c>
      <c r="G56" s="7">
        <v>6.8356356516679389E-4</v>
      </c>
      <c r="H56" s="7">
        <v>0.96567040136367144</v>
      </c>
    </row>
    <row r="57" spans="2:8" x14ac:dyDescent="0.35">
      <c r="B57" s="3"/>
      <c r="C57" s="4" t="s">
        <v>20</v>
      </c>
      <c r="D57" s="3">
        <v>2023</v>
      </c>
      <c r="E57" s="5">
        <v>22.87</v>
      </c>
      <c r="F57" s="6">
        <v>1.4260385404291078E-6</v>
      </c>
      <c r="G57" s="7">
        <v>8.7264163251743335E-4</v>
      </c>
      <c r="H57" s="7">
        <v>0.94388792780354669</v>
      </c>
    </row>
    <row r="58" spans="2:8" x14ac:dyDescent="0.35">
      <c r="B58" s="3"/>
      <c r="C58" s="4" t="s">
        <v>20</v>
      </c>
      <c r="D58" s="3">
        <v>2024</v>
      </c>
      <c r="E58" s="5">
        <v>23.05</v>
      </c>
      <c r="F58" s="8">
        <v>1.3946167546474372E-6</v>
      </c>
      <c r="G58" s="7">
        <v>8.0838431691823947E-4</v>
      </c>
      <c r="H58" s="7">
        <v>0.66107806793355794</v>
      </c>
    </row>
    <row r="59" spans="2:8" x14ac:dyDescent="0.35">
      <c r="B59" s="3">
        <v>15</v>
      </c>
      <c r="C59" s="4" t="s">
        <v>21</v>
      </c>
      <c r="D59" s="3">
        <v>2021</v>
      </c>
      <c r="E59" s="5">
        <v>27.65</v>
      </c>
      <c r="F59" s="6">
        <v>1.2995194402169874E-10</v>
      </c>
      <c r="G59" s="7">
        <v>3.0381898950715547E-6</v>
      </c>
      <c r="H59" s="7">
        <v>1.688597189112282</v>
      </c>
    </row>
    <row r="60" spans="2:8" x14ac:dyDescent="0.35">
      <c r="B60" s="3"/>
      <c r="C60" s="4" t="s">
        <v>21</v>
      </c>
      <c r="D60" s="3">
        <v>2022</v>
      </c>
      <c r="E60" s="5">
        <v>26.78</v>
      </c>
      <c r="F60" s="6">
        <v>1.1700987254941938E-10</v>
      </c>
      <c r="G60" s="7">
        <v>3.4285643232800312E-6</v>
      </c>
      <c r="H60" s="7">
        <v>1.6351796893799961</v>
      </c>
    </row>
    <row r="61" spans="2:8" x14ac:dyDescent="0.35">
      <c r="B61" s="3"/>
      <c r="C61" s="4" t="s">
        <v>21</v>
      </c>
      <c r="D61" s="3">
        <v>2023</v>
      </c>
      <c r="E61" s="5">
        <v>24.51</v>
      </c>
      <c r="F61" s="6">
        <v>2.1585737046057844E-10</v>
      </c>
      <c r="G61" s="7">
        <v>1.2222784022425601E-5</v>
      </c>
      <c r="H61" s="7">
        <v>1.4968333588477087</v>
      </c>
    </row>
    <row r="62" spans="2:8" x14ac:dyDescent="0.35">
      <c r="B62" s="3"/>
      <c r="C62" s="4" t="s">
        <v>21</v>
      </c>
      <c r="D62" s="3">
        <v>2024</v>
      </c>
      <c r="E62" s="5">
        <v>23.77</v>
      </c>
      <c r="F62" s="8">
        <v>3.6297009653485074E-10</v>
      </c>
      <c r="G62" s="7">
        <v>9.5313560426158162E-6</v>
      </c>
      <c r="H62" s="7">
        <v>1.2780796799316649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6F645-19D0-4825-8214-B4F81D29E6A5}">
  <dimension ref="B3:W19"/>
  <sheetViews>
    <sheetView zoomScale="74" zoomScaleNormal="74" workbookViewId="0">
      <selection activeCell="E31" sqref="E31"/>
    </sheetView>
  </sheetViews>
  <sheetFormatPr defaultRowHeight="14.5" x14ac:dyDescent="0.35"/>
  <cols>
    <col min="4" max="4" width="32" bestFit="1" customWidth="1"/>
    <col min="5" max="5" width="21.26953125" style="31" bestFit="1" customWidth="1"/>
    <col min="6" max="6" width="23.26953125" style="31" bestFit="1" customWidth="1"/>
    <col min="7" max="7" width="24.54296875" style="9" bestFit="1" customWidth="1"/>
    <col min="8" max="8" width="19.90625" style="31" bestFit="1" customWidth="1"/>
    <col min="9" max="9" width="23.26953125" style="31" bestFit="1" customWidth="1"/>
    <col min="10" max="10" width="24.54296875" style="9" bestFit="1" customWidth="1"/>
    <col min="11" max="11" width="19.90625" style="31" bestFit="1" customWidth="1"/>
    <col min="12" max="12" width="23.26953125" style="31" bestFit="1" customWidth="1"/>
    <col min="13" max="13" width="24.54296875" style="9" bestFit="1" customWidth="1"/>
    <col min="14" max="14" width="20.6328125" style="31" bestFit="1" customWidth="1"/>
    <col min="15" max="15" width="23.26953125" style="31" bestFit="1" customWidth="1"/>
    <col min="16" max="16" width="24.54296875" style="9" bestFit="1" customWidth="1"/>
    <col min="17" max="17" width="8.7265625" style="12"/>
    <col min="18" max="19" width="14.54296875" bestFit="1" customWidth="1"/>
  </cols>
  <sheetData>
    <row r="3" spans="2:23" x14ac:dyDescent="0.35">
      <c r="B3" s="27" t="s">
        <v>0</v>
      </c>
      <c r="C3" s="27" t="s">
        <v>42</v>
      </c>
      <c r="D3" s="27" t="s">
        <v>41</v>
      </c>
      <c r="E3" s="29">
        <v>2021</v>
      </c>
      <c r="F3" s="29"/>
      <c r="G3" s="29"/>
      <c r="H3" s="29">
        <v>2022</v>
      </c>
      <c r="I3" s="29"/>
      <c r="J3" s="29"/>
      <c r="K3" s="29">
        <v>2023</v>
      </c>
      <c r="L3" s="29"/>
      <c r="M3" s="29"/>
      <c r="N3" s="29">
        <v>2024</v>
      </c>
      <c r="O3" s="29"/>
      <c r="P3" s="29"/>
    </row>
    <row r="4" spans="2:23" x14ac:dyDescent="0.35">
      <c r="B4" s="27"/>
      <c r="C4" s="27"/>
      <c r="D4" s="27"/>
      <c r="E4" s="14" t="s">
        <v>43</v>
      </c>
      <c r="F4" s="14" t="s">
        <v>44</v>
      </c>
      <c r="G4" s="13" t="s">
        <v>45</v>
      </c>
      <c r="H4" s="14" t="s">
        <v>43</v>
      </c>
      <c r="I4" s="14" t="s">
        <v>44</v>
      </c>
      <c r="J4" s="13" t="s">
        <v>45</v>
      </c>
      <c r="K4" s="14" t="s">
        <v>43</v>
      </c>
      <c r="L4" s="14" t="s">
        <v>44</v>
      </c>
      <c r="M4" s="13" t="s">
        <v>45</v>
      </c>
      <c r="N4" s="14" t="s">
        <v>43</v>
      </c>
      <c r="O4" s="14" t="s">
        <v>44</v>
      </c>
      <c r="P4" s="13" t="s">
        <v>45</v>
      </c>
    </row>
    <row r="5" spans="2:23" x14ac:dyDescent="0.35">
      <c r="B5" s="17">
        <v>1</v>
      </c>
      <c r="C5" s="18" t="s">
        <v>7</v>
      </c>
      <c r="D5" s="17" t="s">
        <v>36</v>
      </c>
      <c r="E5" s="14">
        <v>352136838990</v>
      </c>
      <c r="F5" s="14">
        <v>108386967696000</v>
      </c>
      <c r="G5" s="13">
        <f>E5/F5</f>
        <v>3.2488854193030029E-3</v>
      </c>
      <c r="H5" s="14">
        <v>481654398950</v>
      </c>
      <c r="I5" s="14">
        <v>85359343750000</v>
      </c>
      <c r="J5" s="13">
        <f>H5/I5</f>
        <v>5.6426675486243999E-3</v>
      </c>
      <c r="K5" s="14">
        <v>645173183818</v>
      </c>
      <c r="L5" s="14">
        <v>161122658735000</v>
      </c>
      <c r="M5" s="13">
        <f>K5/L5</f>
        <v>4.0042362066475242E-3</v>
      </c>
      <c r="N5" s="14">
        <v>597634882664</v>
      </c>
      <c r="O5" s="14">
        <v>108098606383000</v>
      </c>
      <c r="P5" s="13">
        <f>N5/O5</f>
        <v>5.5286085793422989E-3</v>
      </c>
      <c r="R5" t="s">
        <v>46</v>
      </c>
      <c r="S5" t="s">
        <v>47</v>
      </c>
      <c r="W5" t="s">
        <v>48</v>
      </c>
    </row>
    <row r="6" spans="2:23" x14ac:dyDescent="0.35">
      <c r="B6" s="17">
        <v>2</v>
      </c>
      <c r="C6" s="18" t="s">
        <v>9</v>
      </c>
      <c r="D6" s="17" t="s">
        <v>35</v>
      </c>
      <c r="E6" s="14">
        <v>102080540000</v>
      </c>
      <c r="F6" s="14">
        <v>32916154000000</v>
      </c>
      <c r="G6" s="13">
        <f t="shared" ref="G6:G19" si="0">E6/F6</f>
        <v>3.1012292626896813E-3</v>
      </c>
      <c r="H6" s="14">
        <v>142926400000</v>
      </c>
      <c r="I6" s="14">
        <v>33637271000000</v>
      </c>
      <c r="J6" s="13">
        <f t="shared" ref="J6:J19" si="1">H6/I6</f>
        <v>4.2490486222856779E-3</v>
      </c>
      <c r="K6" s="14">
        <v>152115710000</v>
      </c>
      <c r="L6" s="14">
        <v>42851329000000</v>
      </c>
      <c r="M6" s="13">
        <f t="shared" ref="M6:M19" si="2">K6/L6</f>
        <v>3.5498481272307797E-3</v>
      </c>
      <c r="N6" s="14">
        <v>158330000000</v>
      </c>
      <c r="O6" s="14">
        <v>44522645000000</v>
      </c>
      <c r="P6" s="13">
        <f t="shared" ref="P6:P19" si="3">N6/O6</f>
        <v>3.5561678781662678E-3</v>
      </c>
      <c r="R6" t="s">
        <v>49</v>
      </c>
      <c r="S6" t="s">
        <v>50</v>
      </c>
    </row>
    <row r="7" spans="2:23" x14ac:dyDescent="0.35">
      <c r="B7" s="17">
        <v>3</v>
      </c>
      <c r="C7" s="18" t="s">
        <v>10</v>
      </c>
      <c r="D7" s="17" t="s">
        <v>34</v>
      </c>
      <c r="E7" s="14">
        <v>1100000000</v>
      </c>
      <c r="F7" s="14">
        <v>1228344680000000</v>
      </c>
      <c r="G7" s="13">
        <f t="shared" si="0"/>
        <v>8.9551411579362233E-7</v>
      </c>
      <c r="H7" s="14">
        <v>1500000000</v>
      </c>
      <c r="I7" s="14">
        <v>1314731674000000</v>
      </c>
      <c r="J7" s="13">
        <f t="shared" si="1"/>
        <v>1.1409172150210173E-6</v>
      </c>
      <c r="K7" s="14">
        <v>8100000000</v>
      </c>
      <c r="L7" s="14">
        <v>1408107010000000</v>
      </c>
      <c r="M7" s="13">
        <f t="shared" si="2"/>
        <v>5.7524037182372949E-6</v>
      </c>
      <c r="N7" s="14">
        <v>10700000000</v>
      </c>
      <c r="O7" s="14">
        <v>1449301328000000</v>
      </c>
      <c r="P7" s="13">
        <f t="shared" si="3"/>
        <v>7.3828677261793E-6</v>
      </c>
      <c r="R7" t="s">
        <v>51</v>
      </c>
      <c r="S7" t="s">
        <v>52</v>
      </c>
    </row>
    <row r="8" spans="2:23" x14ac:dyDescent="0.35">
      <c r="B8" s="17">
        <v>4</v>
      </c>
      <c r="C8" s="18" t="s">
        <v>11</v>
      </c>
      <c r="D8" s="17" t="s">
        <v>33</v>
      </c>
      <c r="E8" s="14">
        <v>28000000000</v>
      </c>
      <c r="F8" s="14">
        <v>964837692000000</v>
      </c>
      <c r="G8" s="13">
        <f t="shared" si="0"/>
        <v>2.9020425126592173E-5</v>
      </c>
      <c r="H8" s="14">
        <v>6500000000</v>
      </c>
      <c r="I8" s="14">
        <v>1029836868000000</v>
      </c>
      <c r="J8" s="13">
        <f t="shared" si="1"/>
        <v>6.3116792590882459E-6</v>
      </c>
      <c r="K8" s="14">
        <v>6500000000</v>
      </c>
      <c r="L8" s="14">
        <v>1088663986000000</v>
      </c>
      <c r="M8" s="13">
        <f t="shared" si="2"/>
        <v>5.9706209478670127E-6</v>
      </c>
      <c r="N8" s="14">
        <v>7200000000</v>
      </c>
      <c r="O8" s="14">
        <v>1129805637000000</v>
      </c>
      <c r="P8" s="13">
        <f t="shared" si="3"/>
        <v>6.3727775505867832E-6</v>
      </c>
      <c r="R8" t="s">
        <v>53</v>
      </c>
      <c r="S8" t="s">
        <v>54</v>
      </c>
    </row>
    <row r="9" spans="2:23" x14ac:dyDescent="0.35">
      <c r="B9" s="17">
        <v>5</v>
      </c>
      <c r="C9" s="18" t="s">
        <v>12</v>
      </c>
      <c r="D9" s="17" t="s">
        <v>32</v>
      </c>
      <c r="E9" s="14">
        <v>70160000000</v>
      </c>
      <c r="F9" s="14">
        <v>1678097734000000</v>
      </c>
      <c r="G9" s="13">
        <f t="shared" si="0"/>
        <v>4.1809245420267041E-5</v>
      </c>
      <c r="H9" s="14">
        <v>72000000000</v>
      </c>
      <c r="I9" s="14">
        <v>1865639010000000</v>
      </c>
      <c r="J9" s="13">
        <f t="shared" si="1"/>
        <v>3.8592675010585248E-5</v>
      </c>
      <c r="K9" s="14">
        <v>70159000000</v>
      </c>
      <c r="L9" s="14">
        <v>1965007030000000</v>
      </c>
      <c r="M9" s="13">
        <f t="shared" si="2"/>
        <v>3.5704197964116192E-5</v>
      </c>
      <c r="N9" s="14">
        <v>60484000000</v>
      </c>
      <c r="O9" s="14">
        <v>1992983447000000</v>
      </c>
      <c r="P9" s="13">
        <f t="shared" si="3"/>
        <v>3.0348470827013348E-5</v>
      </c>
      <c r="R9" t="s">
        <v>55</v>
      </c>
      <c r="S9" t="s">
        <v>56</v>
      </c>
      <c r="T9" t="s">
        <v>57</v>
      </c>
      <c r="U9" t="s">
        <v>58</v>
      </c>
    </row>
    <row r="10" spans="2:23" x14ac:dyDescent="0.35">
      <c r="B10" s="17">
        <v>6</v>
      </c>
      <c r="C10" s="18" t="s">
        <v>13</v>
      </c>
      <c r="D10" s="17" t="s">
        <v>31</v>
      </c>
      <c r="E10" s="14">
        <f>6183455685+20204011355+18485025000+1008172985</f>
        <v>45880665025</v>
      </c>
      <c r="F10" s="14">
        <v>35446051000000</v>
      </c>
      <c r="G10" s="13">
        <f t="shared" si="0"/>
        <v>1.2943801560574405E-3</v>
      </c>
      <c r="H10" s="14">
        <f>8457975337+16363246495+22793864834</f>
        <v>47615086666</v>
      </c>
      <c r="I10" s="14">
        <v>39847545000000</v>
      </c>
      <c r="J10" s="13">
        <f t="shared" si="1"/>
        <v>1.1949314986908228E-3</v>
      </c>
      <c r="K10" s="14">
        <f>10147579564+19685183344+22107590509</f>
        <v>51940353417</v>
      </c>
      <c r="L10" s="14">
        <v>40970800000000</v>
      </c>
      <c r="M10" s="13">
        <f t="shared" si="2"/>
        <v>1.2677407670096752E-3</v>
      </c>
      <c r="N10" s="14">
        <f>10918753606+15798967088+25049627992</f>
        <v>51767348686</v>
      </c>
      <c r="O10" s="14">
        <v>42791000000000</v>
      </c>
      <c r="P10" s="13">
        <f t="shared" si="3"/>
        <v>1.2097718839475591E-3</v>
      </c>
      <c r="R10" t="s">
        <v>59</v>
      </c>
      <c r="S10" t="s">
        <v>60</v>
      </c>
    </row>
    <row r="11" spans="2:23" x14ac:dyDescent="0.35">
      <c r="B11" s="17">
        <v>7</v>
      </c>
      <c r="C11" s="18" t="s">
        <v>14</v>
      </c>
      <c r="D11" s="17" t="s">
        <v>30</v>
      </c>
      <c r="E11" s="30">
        <f>(12948000+2561000)*'[1]2021'!$I$19</f>
        <v>221297921000</v>
      </c>
      <c r="F11" s="30">
        <v>128113431705000</v>
      </c>
      <c r="G11" s="13">
        <f t="shared" si="0"/>
        <v>1.7273592476202727E-3</v>
      </c>
      <c r="H11" s="30">
        <f>(13573000+1258000)*'[1]2022'!$I$19</f>
        <v>233306461000</v>
      </c>
      <c r="I11" s="30">
        <v>151658182051000</v>
      </c>
      <c r="J11" s="13">
        <f t="shared" si="1"/>
        <v>1.5383704185610184E-3</v>
      </c>
      <c r="K11" s="30">
        <f>(12517000+395000)*'[1]2023'!$I$19</f>
        <v>199051392000</v>
      </c>
      <c r="L11" s="30">
        <v>156089127408000</v>
      </c>
      <c r="M11" s="13">
        <f t="shared" si="2"/>
        <v>1.2752418781847713E-3</v>
      </c>
      <c r="N11" s="30">
        <f>(12201000+254000)*16162</f>
        <v>201297710000</v>
      </c>
      <c r="O11" s="30">
        <v>190340714424000</v>
      </c>
      <c r="P11" s="13">
        <f t="shared" si="3"/>
        <v>1.0575651699593412E-3</v>
      </c>
      <c r="Q11"/>
      <c r="R11" t="s">
        <v>61</v>
      </c>
      <c r="S11" t="s">
        <v>62</v>
      </c>
    </row>
    <row r="12" spans="2:23" x14ac:dyDescent="0.35">
      <c r="B12" s="17">
        <v>8</v>
      </c>
      <c r="C12" s="18" t="s">
        <v>15</v>
      </c>
      <c r="D12" s="17" t="s">
        <v>29</v>
      </c>
      <c r="E12" s="30">
        <f>10400000*'[1]2024'!$I$21</f>
        <v>164808800000</v>
      </c>
      <c r="F12" s="30">
        <v>23962183059000</v>
      </c>
      <c r="G12" s="13">
        <f t="shared" si="0"/>
        <v>6.8778708348152424E-3</v>
      </c>
      <c r="H12" s="30">
        <f>38400000*'[1]2023'!$I$21</f>
        <v>585792000000</v>
      </c>
      <c r="I12" s="30">
        <v>41532624387000</v>
      </c>
      <c r="J12" s="13">
        <f t="shared" si="1"/>
        <v>1.410438200441186E-2</v>
      </c>
      <c r="K12" s="30">
        <f>73200000*'[1]2022'!$I$21</f>
        <v>1151509200000</v>
      </c>
      <c r="L12" s="30">
        <v>33375605985000</v>
      </c>
      <c r="M12" s="13">
        <f t="shared" si="2"/>
        <v>3.4501521875513599E-2</v>
      </c>
      <c r="N12" s="30">
        <f>111500000*'[1]2021'!$I$21</f>
        <v>1603481500000</v>
      </c>
      <c r="O12" s="30">
        <v>38136502768000</v>
      </c>
      <c r="P12" s="13">
        <f t="shared" si="3"/>
        <v>4.2045845413635229E-2</v>
      </c>
      <c r="Q12"/>
      <c r="R12" t="s">
        <v>63</v>
      </c>
      <c r="S12" t="s">
        <v>64</v>
      </c>
      <c r="T12" t="s">
        <v>65</v>
      </c>
      <c r="U12" t="s">
        <v>66</v>
      </c>
    </row>
    <row r="13" spans="2:23" x14ac:dyDescent="0.35">
      <c r="B13" s="17">
        <v>9</v>
      </c>
      <c r="C13" s="18" t="s">
        <v>16</v>
      </c>
      <c r="D13" s="17" t="s">
        <v>28</v>
      </c>
      <c r="E13" s="30">
        <v>21600000000</v>
      </c>
      <c r="F13" s="30">
        <v>25666635156271</v>
      </c>
      <c r="G13" s="13">
        <f t="shared" si="0"/>
        <v>8.4155947472228673E-4</v>
      </c>
      <c r="H13" s="30">
        <f>3886636126+7814470757+496000000+2039969600+2573309437+5016578658</f>
        <v>21826964578</v>
      </c>
      <c r="I13" s="30">
        <v>27241313025674</v>
      </c>
      <c r="J13" s="13">
        <f t="shared" si="1"/>
        <v>8.0124495311326724E-4</v>
      </c>
      <c r="K13" s="30">
        <f>4677822220+7471160336+2925216805+2171641020+4224122025+1579895470</f>
        <v>23049857876</v>
      </c>
      <c r="L13" s="30">
        <v>27057568182323</v>
      </c>
      <c r="M13" s="13">
        <f t="shared" si="2"/>
        <v>8.5188209526747933E-4</v>
      </c>
      <c r="N13" s="30">
        <f>4082479477+8682332441+5534964952+151505000+553888800+208155504</f>
        <v>19213326174</v>
      </c>
      <c r="O13" s="30">
        <v>29429727898195</v>
      </c>
      <c r="P13" s="13">
        <f t="shared" si="3"/>
        <v>6.5285436006964925E-4</v>
      </c>
      <c r="Q13"/>
      <c r="R13" t="s">
        <v>67</v>
      </c>
      <c r="S13" t="s">
        <v>68</v>
      </c>
      <c r="T13" t="s">
        <v>69</v>
      </c>
      <c r="U13" t="s">
        <v>70</v>
      </c>
    </row>
    <row r="14" spans="2:23" x14ac:dyDescent="0.35">
      <c r="B14" s="17">
        <v>10</v>
      </c>
      <c r="C14" s="18" t="s">
        <v>17</v>
      </c>
      <c r="D14" s="17" t="s">
        <v>27</v>
      </c>
      <c r="E14" s="30">
        <f>(6033157+1047385)*'[1]2021'!$I$23</f>
        <v>101152623012</v>
      </c>
      <c r="F14" s="30">
        <v>18265974726474</v>
      </c>
      <c r="G14" s="13">
        <f t="shared" si="0"/>
        <v>5.5377621247550118E-3</v>
      </c>
      <c r="H14" s="30">
        <f>(5243609+1144113)*'[1]2022'!$I$23</f>
        <v>99808156250</v>
      </c>
      <c r="I14" s="30">
        <v>60572902109375</v>
      </c>
      <c r="J14" s="13">
        <f t="shared" si="1"/>
        <v>1.6477360795719984E-3</v>
      </c>
      <c r="K14" s="30">
        <f>(5515929+2351520)*'[1]2023'!$I$23</f>
        <v>122928890625</v>
      </c>
      <c r="L14" s="30">
        <v>77566545546875</v>
      </c>
      <c r="M14" s="13">
        <f t="shared" si="2"/>
        <v>1.5848184260147519E-3</v>
      </c>
      <c r="N14" s="30">
        <f>(4188712+1208990)*'[1]2024'!$I$23</f>
        <v>87059535558</v>
      </c>
      <c r="O14" s="30">
        <v>84468603385036</v>
      </c>
      <c r="P14" s="13">
        <f t="shared" si="3"/>
        <v>1.0306733161095805E-3</v>
      </c>
      <c r="Q14"/>
      <c r="R14" t="s">
        <v>71</v>
      </c>
      <c r="S14" t="s">
        <v>72</v>
      </c>
    </row>
    <row r="15" spans="2:23" x14ac:dyDescent="0.35">
      <c r="B15" s="17">
        <v>11</v>
      </c>
      <c r="C15" s="18" t="s">
        <v>18</v>
      </c>
      <c r="D15" s="17" t="s">
        <v>26</v>
      </c>
      <c r="E15" s="30">
        <f>(30890+46988+524287+1031951+425754)*'[1]2021'!$I$24</f>
        <v>29392285030</v>
      </c>
      <c r="F15" s="30">
        <v>81103342779391</v>
      </c>
      <c r="G15" s="13">
        <f t="shared" si="0"/>
        <v>3.6240534634866876E-4</v>
      </c>
      <c r="H15" s="30">
        <f>(80740+595799+1132176+905129+267103)*'[1]2022'!$I$24</f>
        <v>46893277257</v>
      </c>
      <c r="I15" s="30">
        <v>109045810548806</v>
      </c>
      <c r="J15" s="13">
        <f t="shared" si="1"/>
        <v>4.3003281850990342E-4</v>
      </c>
      <c r="K15" s="30">
        <f>(75605+450518+1235705+406286 +170874)*'[1]2023'!$I$24</f>
        <v>36057839008</v>
      </c>
      <c r="L15" s="30">
        <v>115131563602904</v>
      </c>
      <c r="M15" s="13">
        <f t="shared" si="2"/>
        <v>3.1318812912474421E-4</v>
      </c>
      <c r="N15" s="30">
        <f>(108787+554633+1598787+698228+234147)*'[1]2024'!$I$24</f>
        <v>51630834284</v>
      </c>
      <c r="O15" s="30">
        <v>128114402079130</v>
      </c>
      <c r="P15" s="13">
        <f t="shared" si="3"/>
        <v>4.0300569995331325E-4</v>
      </c>
      <c r="Q15"/>
      <c r="R15" t="s">
        <v>73</v>
      </c>
      <c r="S15" t="s">
        <v>74</v>
      </c>
    </row>
    <row r="16" spans="2:23" x14ac:dyDescent="0.35">
      <c r="B16" s="17">
        <v>12</v>
      </c>
      <c r="C16" s="18" t="s">
        <v>19</v>
      </c>
      <c r="D16" s="17" t="s">
        <v>25</v>
      </c>
      <c r="E16" s="30">
        <v>10319786000</v>
      </c>
      <c r="F16" s="30">
        <v>107173729882638</v>
      </c>
      <c r="G16" s="13">
        <f t="shared" si="0"/>
        <v>9.6290257055537935E-5</v>
      </c>
      <c r="H16" s="30">
        <v>38537739000</v>
      </c>
      <c r="I16" s="30">
        <v>113182339718303</v>
      </c>
      <c r="J16" s="13">
        <f t="shared" si="1"/>
        <v>3.404925105446284E-4</v>
      </c>
      <c r="K16" s="30">
        <v>20203697782</v>
      </c>
      <c r="L16" s="30">
        <v>101885642707452</v>
      </c>
      <c r="M16" s="13">
        <f t="shared" si="2"/>
        <v>1.9829779000375569E-4</v>
      </c>
      <c r="N16" s="30">
        <v>19785357094</v>
      </c>
      <c r="O16" s="30">
        <v>103662499787610</v>
      </c>
      <c r="P16" s="13">
        <f t="shared" si="3"/>
        <v>1.9086320641058664E-4</v>
      </c>
      <c r="Q16"/>
      <c r="R16" t="s">
        <v>75</v>
      </c>
      <c r="S16" t="s">
        <v>76</v>
      </c>
    </row>
    <row r="17" spans="2:22" x14ac:dyDescent="0.35">
      <c r="B17" s="17">
        <v>13</v>
      </c>
      <c r="C17" s="18" t="s">
        <v>20</v>
      </c>
      <c r="D17" s="17" t="s">
        <v>24</v>
      </c>
      <c r="E17" s="14">
        <v>50746171343</v>
      </c>
      <c r="F17" s="14">
        <v>81766327000000</v>
      </c>
      <c r="G17" s="13">
        <f t="shared" si="0"/>
        <v>6.206243230541589E-4</v>
      </c>
      <c r="H17" s="30">
        <v>56708441569</v>
      </c>
      <c r="I17" s="14">
        <v>82960012000000</v>
      </c>
      <c r="J17" s="13">
        <f t="shared" si="1"/>
        <v>6.8356356516679389E-4</v>
      </c>
      <c r="K17" s="14">
        <v>71400000000</v>
      </c>
      <c r="L17" s="14">
        <v>81820529000000</v>
      </c>
      <c r="M17" s="13">
        <f t="shared" si="2"/>
        <v>8.7264163251743335E-4</v>
      </c>
      <c r="N17" s="14">
        <v>62240000000</v>
      </c>
      <c r="O17" s="14">
        <v>76993082000000</v>
      </c>
      <c r="P17" s="13">
        <f t="shared" si="3"/>
        <v>8.0838431691823947E-4</v>
      </c>
      <c r="R17" t="s">
        <v>77</v>
      </c>
      <c r="S17" t="s">
        <v>78</v>
      </c>
    </row>
    <row r="18" spans="2:22" x14ac:dyDescent="0.35">
      <c r="B18" s="17">
        <v>14</v>
      </c>
      <c r="C18" s="18" t="s">
        <v>21</v>
      </c>
      <c r="D18" s="17" t="s">
        <v>23</v>
      </c>
      <c r="E18" s="14">
        <v>200000000</v>
      </c>
      <c r="F18" s="14">
        <v>65828670000000</v>
      </c>
      <c r="G18" s="13">
        <f t="shared" si="0"/>
        <v>3.0381898950715547E-6</v>
      </c>
      <c r="H18" s="14">
        <v>225000000</v>
      </c>
      <c r="I18" s="14">
        <v>65625136000000</v>
      </c>
      <c r="J18" s="13">
        <f t="shared" si="1"/>
        <v>3.4285643232800312E-6</v>
      </c>
      <c r="K18" s="14">
        <v>836270000</v>
      </c>
      <c r="L18" s="14">
        <v>68418946000000</v>
      </c>
      <c r="M18" s="13">
        <f t="shared" si="2"/>
        <v>1.2222784022425601E-5</v>
      </c>
      <c r="N18" s="14">
        <v>741810000</v>
      </c>
      <c r="O18" s="14">
        <v>77828380000000</v>
      </c>
      <c r="P18" s="13">
        <f t="shared" si="3"/>
        <v>9.5313560426158162E-6</v>
      </c>
      <c r="R18" t="s">
        <v>79</v>
      </c>
      <c r="S18" t="s">
        <v>80</v>
      </c>
    </row>
    <row r="19" spans="2:22" x14ac:dyDescent="0.35">
      <c r="B19" s="17">
        <v>15</v>
      </c>
      <c r="C19" s="18" t="s">
        <v>8</v>
      </c>
      <c r="D19" s="17" t="s">
        <v>22</v>
      </c>
      <c r="E19" s="14">
        <v>6801000000</v>
      </c>
      <c r="F19" s="14">
        <v>27370210000</v>
      </c>
      <c r="G19" s="13">
        <f t="shared" si="0"/>
        <v>0.24848183481237449</v>
      </c>
      <c r="H19" s="14">
        <v>10897000000</v>
      </c>
      <c r="I19" s="14">
        <v>30746266000000</v>
      </c>
      <c r="J19" s="13">
        <f t="shared" si="1"/>
        <v>3.5441702091564551E-4</v>
      </c>
      <c r="K19" s="14">
        <v>15005000000</v>
      </c>
      <c r="L19" s="14">
        <v>34246183000000</v>
      </c>
      <c r="M19" s="13">
        <f t="shared" si="2"/>
        <v>4.3815101963334135E-4</v>
      </c>
      <c r="N19" s="14">
        <v>35542000000</v>
      </c>
      <c r="O19" s="14">
        <v>38798382000000</v>
      </c>
      <c r="P19" s="13">
        <f t="shared" si="3"/>
        <v>9.1606912886212631E-4</v>
      </c>
      <c r="R19" t="s">
        <v>81</v>
      </c>
      <c r="S19" t="s">
        <v>82</v>
      </c>
      <c r="U19" t="s">
        <v>83</v>
      </c>
      <c r="V19" t="s">
        <v>84</v>
      </c>
    </row>
  </sheetData>
  <mergeCells count="7">
    <mergeCell ref="N3:P3"/>
    <mergeCell ref="B3:B4"/>
    <mergeCell ref="C3:C4"/>
    <mergeCell ref="D3:D4"/>
    <mergeCell ref="E3:G3"/>
    <mergeCell ref="H3:J3"/>
    <mergeCell ref="K3:M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ESG</vt:lpstr>
      <vt:lpstr>CEI</vt:lpstr>
      <vt:lpstr>Nilai Perusahaan</vt:lpstr>
      <vt:lpstr>Olah Data </vt:lpstr>
      <vt:lpstr>biaya lingkungan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lintang shafa zahra</dc:creator>
  <cp:lastModifiedBy>lintang shafa zahra</cp:lastModifiedBy>
  <dcterms:created xsi:type="dcterms:W3CDTF">2025-08-19T01:12:57Z</dcterms:created>
  <dcterms:modified xsi:type="dcterms:W3CDTF">2026-01-28T02:50:00Z</dcterms:modified>
</cp:coreProperties>
</file>